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quipamentos" sheetId="1" state="visible" r:id="rId1"/>
    <sheet xmlns:r="http://schemas.openxmlformats.org/officeDocument/2006/relationships" name="Manutençõ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'Equipamentos'!$A$2:$Q$11</definedName>
    <definedName name="_xlnm._FilterDatabase" localSheetId="1" hidden="1">'Manutenções'!$A$2:$P$12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,0%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0"/>
    </font>
    <font>
      <name val="Calibri"/>
      <b val="1"/>
      <color rgb="000F766E"/>
      <sz val="13"/>
    </font>
    <font>
      <name val="Calibri"/>
      <b val="1"/>
      <color rgb="0022C55E"/>
      <sz val="11"/>
    </font>
    <font>
      <name val="Calibri"/>
      <b val="1"/>
      <color rgb="00DC2626"/>
      <sz val="11"/>
    </font>
    <font>
      <name val="Calibri"/>
      <b val="1"/>
      <color rgb="000F766E"/>
      <sz val="12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1" fontId="5" fillId="0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166" fontId="6" fillId="0" borderId="1" applyAlignment="1" pivotButton="0" quotePrefix="0" xfId="0">
      <alignment horizontal="center" vertical="center" wrapText="1"/>
    </xf>
    <xf numFmtId="1" fontId="7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2" fillId="2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8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center" vertical="center" wrapText="1"/>
    </xf>
    <xf numFmtId="166" fontId="6" fillId="0" borderId="1" applyAlignment="1" pivotButton="0" quotePrefix="0" xfId="0">
      <alignment horizontal="center" vertical="center" wrapText="1"/>
    </xf>
    <xf numFmtId="165" fontId="0" fillId="0" borderId="1" pivotButton="0" quotePrefix="0" xfId="0"/>
  </cellXfs>
  <cellStyles count="1">
    <cellStyle name="Normal" xfId="0" builtinId="0" hidden="0"/>
  </cellStyles>
  <dxfs count="3">
    <dxf>
      <font>
        <name val="Calibri"/>
        <b val="1"/>
        <color rgb="00DC2626"/>
        <sz val="11"/>
      </font>
    </dxf>
    <dxf>
      <font>
        <b val="1"/>
        <color rgb="00D97706"/>
        <sz val="11"/>
      </font>
    </dxf>
    <dxf>
      <font>
        <name val="Calibri"/>
        <b val="1"/>
        <color rgb="0022C55E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Total de Manutenção por Equipamento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'Dashboard'!$A$9:$A$17</f>
            </numRef>
          </cat>
          <val>
            <numRef>
              <f>'Dashboard'!$B$9:$B$17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Tipo de Manutenção</a:t>
            </a:r>
          </a:p>
        </rich>
      </tx>
    </title>
    <plotArea>
      <pieChart>
        <varyColors val="1"/>
        <ser>
          <idx val="0"/>
          <order val="0"/>
          <tx>
            <strRef>
              <f>'Dashboard'!E8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'Dashboard'!$D$9:$D$12</f>
            </numRef>
          </cat>
          <val>
            <numRef>
              <f>'Dashboard'!$E$9:$E$12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Quantidade de Manutenções por Mês —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'Dashboard'!E21</f>
            </strRef>
          </tx>
          <spPr>
            <a:ln xmlns:a="http://schemas.openxmlformats.org/drawingml/2006/main" w="25000">
              <a:solidFill>
                <a:srgbClr val="22C5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'Dashboard'!$D$22:$D$33</f>
            </numRef>
          </cat>
          <val>
            <numRef>
              <f>'Dashboard'!$E$22:$E$33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Manutenções por Status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'Dashboard'!B21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'Dashboard'!$A$22:$A$25</f>
            </numRef>
          </cat>
          <val>
            <numRef>
              <f>'Dashboard'!$B$22:$B$25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6</col>
      <colOff>0</colOff>
      <row>6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23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35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6</col>
      <colOff>0</colOff>
      <row>39</row>
      <rowOff>0</rowOff>
    </from>
    <ext cx="432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22" customWidth="1" min="3" max="3"/>
    <col width="15" customWidth="1" min="4" max="4"/>
    <col width="20" customWidth="1" min="5" max="5"/>
    <col width="13" customWidth="1" min="6" max="6"/>
    <col width="15" customWidth="1" min="7" max="7"/>
    <col width="18" customWidth="1" min="8" max="8"/>
    <col width="14" customWidth="1" min="9" max="9"/>
    <col width="16" customWidth="1" min="10" max="10"/>
    <col width="12" customWidth="1" min="11" max="11"/>
    <col width="16" customWidth="1" min="12" max="12"/>
    <col width="14" customWidth="1" min="13" max="13"/>
    <col width="14" customWidth="1" min="14" max="14"/>
    <col width="11" customWidth="1" min="15" max="15"/>
    <col width="15" customWidth="1" min="16" max="16"/>
    <col width="30" customWidth="1" min="17" max="17"/>
  </cols>
  <sheetData>
    <row r="1" ht="26" customHeight="1">
      <c r="A1" s="1" t="inlineStr">
        <is>
          <t>Cadastro de Equipamentos — Controle de Manutenção 2026</t>
        </is>
      </c>
    </row>
    <row r="2" ht="42" customHeight="1">
      <c r="A2" s="2" t="inlineStr">
        <is>
          <t>ID Equipamento</t>
        </is>
      </c>
      <c r="B2" s="2" t="inlineStr">
        <is>
          <t>Patrimônio</t>
        </is>
      </c>
      <c r="C2" s="2" t="inlineStr">
        <is>
          <t>Equipamento</t>
        </is>
      </c>
      <c r="D2" s="2" t="inlineStr">
        <is>
          <t>Categoria</t>
        </is>
      </c>
      <c r="E2" s="2" t="inlineStr">
        <is>
          <t>Marca/Modelo</t>
        </is>
      </c>
      <c r="F2" s="2" t="inlineStr">
        <is>
          <t>Número de Série</t>
        </is>
      </c>
      <c r="G2" s="2" t="inlineStr">
        <is>
          <t>Localização</t>
        </is>
      </c>
      <c r="H2" s="2" t="inlineStr">
        <is>
          <t>Responsável</t>
        </is>
      </c>
      <c r="I2" s="2" t="inlineStr">
        <is>
          <t>Data de Aquisição</t>
        </is>
      </c>
      <c r="J2" s="2" t="inlineStr">
        <is>
          <t>Valor de Aquisição</t>
        </is>
      </c>
      <c r="K2" s="2" t="inlineStr">
        <is>
          <t>Vida Útil (anos)</t>
        </is>
      </c>
      <c r="L2" s="2" t="inlineStr">
        <is>
          <t>Periodicidade Preventiva (dias)</t>
        </is>
      </c>
      <c r="M2" s="2" t="inlineStr">
        <is>
          <t>Última Manutenção</t>
        </is>
      </c>
      <c r="N2" s="2" t="inlineStr">
        <is>
          <t>Próxima Manutenção</t>
        </is>
      </c>
      <c r="O2" s="2" t="inlineStr">
        <is>
          <t>Status</t>
        </is>
      </c>
      <c r="P2" s="2" t="inlineStr">
        <is>
          <t>Custo Acumulado</t>
        </is>
      </c>
      <c r="Q2" s="2" t="inlineStr">
        <is>
          <t>Observações</t>
        </is>
      </c>
    </row>
    <row r="3">
      <c r="A3" s="3" t="inlineStr">
        <is>
          <t>EQ-001</t>
        </is>
      </c>
      <c r="B3" s="3" t="inlineStr">
        <is>
          <t>PAT-1001</t>
        </is>
      </c>
      <c r="C3" s="4" t="inlineStr">
        <is>
          <t>Empilhadeira</t>
        </is>
      </c>
      <c r="D3" s="4" t="inlineStr">
        <is>
          <t>Movimentação</t>
        </is>
      </c>
      <c r="E3" s="4" t="inlineStr">
        <is>
          <t>Toyota 8FD25</t>
        </is>
      </c>
      <c r="F3" s="4" t="inlineStr">
        <is>
          <t>TY2026-001</t>
        </is>
      </c>
      <c r="G3" s="4" t="inlineStr">
        <is>
          <t>São Paulo</t>
        </is>
      </c>
      <c r="H3" s="4" t="inlineStr">
        <is>
          <t>João Silva</t>
        </is>
      </c>
      <c r="I3" s="23" t="n">
        <v>46037</v>
      </c>
      <c r="J3" s="24" t="n">
        <v>185000</v>
      </c>
      <c r="K3" s="3" t="n">
        <v>10</v>
      </c>
      <c r="L3" s="3" t="n">
        <v>90</v>
      </c>
      <c r="M3" s="23" t="n">
        <v>46162</v>
      </c>
      <c r="N3" s="23">
        <f>IFERROR(M3+L3,"")</f>
        <v/>
      </c>
      <c r="O3" s="3">
        <f>IF(N3="","Em dia",IF(N3&lt;TODAY(),"Atrasada",IF(N3&lt;=TODAY()+30,"Próxima","Em dia")))</f>
        <v/>
      </c>
      <c r="P3" s="24">
        <f>SUMIF(Manutenções!$C:$C,A3,Manutenções!$L:$L)</f>
        <v/>
      </c>
      <c r="Q3" s="4" t="inlineStr">
        <is>
          <t>Operação normal</t>
        </is>
      </c>
    </row>
    <row r="4">
      <c r="A4" s="7" t="inlineStr">
        <is>
          <t>EQ-002</t>
        </is>
      </c>
      <c r="B4" s="7" t="inlineStr">
        <is>
          <t>PAT-1002</t>
        </is>
      </c>
      <c r="C4" s="8" t="inlineStr">
        <is>
          <t>Compressor de Ar</t>
        </is>
      </c>
      <c r="D4" s="8" t="inlineStr">
        <is>
          <t>Utilidades</t>
        </is>
      </c>
      <c r="E4" s="8" t="inlineStr">
        <is>
          <t>Atlas Copco GA15</t>
        </is>
      </c>
      <c r="F4" s="8" t="inlineStr">
        <is>
          <t>AC2026-014</t>
        </is>
      </c>
      <c r="G4" s="8" t="inlineStr">
        <is>
          <t>Campinas</t>
        </is>
      </c>
      <c r="H4" s="8" t="inlineStr">
        <is>
          <t>Maria Oliveira</t>
        </is>
      </c>
      <c r="I4" s="25" t="n">
        <v>46056</v>
      </c>
      <c r="J4" s="26" t="n">
        <v>42000</v>
      </c>
      <c r="K4" s="7" t="n">
        <v>8</v>
      </c>
      <c r="L4" s="7" t="n">
        <v>60</v>
      </c>
      <c r="M4" s="25" t="n">
        <v>46122</v>
      </c>
      <c r="N4" s="25">
        <f>IFERROR(M4+L4,"")</f>
        <v/>
      </c>
      <c r="O4" s="7">
        <f>IF(N4="","Em dia",IF(N4&lt;TODAY(),"Atrasada",IF(N4&lt;=TODAY()+30,"Próxima","Em dia")))</f>
        <v/>
      </c>
      <c r="P4" s="26">
        <f>SUMIF(Manutenções!$C:$C,A4,Manutenções!$L:$L)</f>
        <v/>
      </c>
      <c r="Q4" s="8" t="inlineStr">
        <is>
          <t>Trocar filtro a cada ciclo</t>
        </is>
      </c>
    </row>
    <row r="5">
      <c r="A5" s="3" t="inlineStr">
        <is>
          <t>EQ-003</t>
        </is>
      </c>
      <c r="B5" s="3" t="inlineStr">
        <is>
          <t>PAT-1003</t>
        </is>
      </c>
      <c r="C5" s="4" t="inlineStr">
        <is>
          <t>Impressora Térmica</t>
        </is>
      </c>
      <c r="D5" s="4" t="inlineStr">
        <is>
          <t>TI</t>
        </is>
      </c>
      <c r="E5" s="4" t="inlineStr">
        <is>
          <t>Zebra ZT411</t>
        </is>
      </c>
      <c r="F5" s="4" t="inlineStr">
        <is>
          <t>ZB2026-221</t>
        </is>
      </c>
      <c r="G5" s="4" t="inlineStr">
        <is>
          <t>Belo Horizonte</t>
        </is>
      </c>
      <c r="H5" s="4" t="inlineStr">
        <is>
          <t>Pedro Santos</t>
        </is>
      </c>
      <c r="I5" s="23" t="n">
        <v>46050</v>
      </c>
      <c r="J5" s="24" t="n">
        <v>6800</v>
      </c>
      <c r="K5" s="3" t="n">
        <v>5</v>
      </c>
      <c r="L5" s="3" t="n">
        <v>180</v>
      </c>
      <c r="M5" s="23" t="n">
        <v>46086</v>
      </c>
      <c r="N5" s="23">
        <f>IFERROR(M5+L5,"")</f>
        <v/>
      </c>
      <c r="O5" s="3">
        <f>IF(N5="","Em dia",IF(N5&lt;TODAY(),"Atrasada",IF(N5&lt;=TODAY()+30,"Próxima","Em dia")))</f>
        <v/>
      </c>
      <c r="P5" s="24">
        <f>SUMIF(Manutenções!$C:$C,A5,Manutenções!$L:$L)</f>
        <v/>
      </c>
      <c r="Q5" s="4" t="inlineStr">
        <is>
          <t>Uso no almoxarifado</t>
        </is>
      </c>
    </row>
    <row r="6">
      <c r="A6" s="7" t="inlineStr">
        <is>
          <t>EQ-004</t>
        </is>
      </c>
      <c r="B6" s="7" t="inlineStr">
        <is>
          <t>PAT-1004</t>
        </is>
      </c>
      <c r="C6" s="8" t="inlineStr">
        <is>
          <t>Ar-Condicionado Central</t>
        </is>
      </c>
      <c r="D6" s="8" t="inlineStr">
        <is>
          <t>Climatização</t>
        </is>
      </c>
      <c r="E6" s="8" t="inlineStr">
        <is>
          <t>Daikin VRV IV</t>
        </is>
      </c>
      <c r="F6" s="8" t="inlineStr">
        <is>
          <t>DK2026-087</t>
        </is>
      </c>
      <c r="G6" s="8" t="inlineStr">
        <is>
          <t>Curitiba</t>
        </is>
      </c>
      <c r="H6" s="8" t="inlineStr">
        <is>
          <t>Ana Souza</t>
        </is>
      </c>
      <c r="I6" s="25" t="n">
        <v>46093</v>
      </c>
      <c r="J6" s="26" t="n">
        <v>35000</v>
      </c>
      <c r="K6" s="7" t="n">
        <v>12</v>
      </c>
      <c r="L6" s="7" t="n">
        <v>120</v>
      </c>
      <c r="M6" s="25" t="n">
        <v>46174</v>
      </c>
      <c r="N6" s="25">
        <f>IFERROR(M6+L6,"")</f>
        <v/>
      </c>
      <c r="O6" s="7">
        <f>IF(N6="","Em dia",IF(N6&lt;TODAY(),"Atrasada",IF(N6&lt;=TODAY()+30,"Próxima","Em dia")))</f>
        <v/>
      </c>
      <c r="P6" s="26">
        <f>SUMIF(Manutenções!$C:$C,A6,Manutenções!$L:$L)</f>
        <v/>
      </c>
      <c r="Q6" s="8" t="inlineStr">
        <is>
          <t>Limpeza trimestral</t>
        </is>
      </c>
    </row>
    <row r="7">
      <c r="A7" s="3" t="inlineStr">
        <is>
          <t>EQ-005</t>
        </is>
      </c>
      <c r="B7" s="3" t="inlineStr">
        <is>
          <t>PAT-1005</t>
        </is>
      </c>
      <c r="C7" s="4" t="inlineStr">
        <is>
          <t>Gerador Diesel</t>
        </is>
      </c>
      <c r="D7" s="4" t="inlineStr">
        <is>
          <t>Energia</t>
        </is>
      </c>
      <c r="E7" s="4" t="inlineStr">
        <is>
          <t>Cummins C150D5</t>
        </is>
      </c>
      <c r="F7" s="4" t="inlineStr">
        <is>
          <t>CM2026-033</t>
        </is>
      </c>
      <c r="G7" s="4" t="inlineStr">
        <is>
          <t>Recife</t>
        </is>
      </c>
      <c r="H7" s="4" t="inlineStr">
        <is>
          <t>Carlos Pereira</t>
        </is>
      </c>
      <c r="I7" s="23" t="n">
        <v>46073</v>
      </c>
      <c r="J7" s="24" t="n">
        <v>98000</v>
      </c>
      <c r="K7" s="3" t="n">
        <v>15</v>
      </c>
      <c r="L7" s="3" t="n">
        <v>90</v>
      </c>
      <c r="M7" s="23" t="n">
        <v>46052</v>
      </c>
      <c r="N7" s="23">
        <f>IFERROR(M7+L7,"")</f>
        <v/>
      </c>
      <c r="O7" s="3">
        <f>IF(N7="","Em dia",IF(N7&lt;TODAY(),"Atrasada",IF(N7&lt;=TODAY()+30,"Próxima","Em dia")))</f>
        <v/>
      </c>
      <c r="P7" s="24">
        <f>SUMIF(Manutenções!$C:$C,A7,Manutenções!$L:$L)</f>
        <v/>
      </c>
      <c r="Q7" s="4" t="inlineStr">
        <is>
          <t>Teste semanal obrigatório</t>
        </is>
      </c>
    </row>
    <row r="8">
      <c r="A8" s="7" t="inlineStr">
        <is>
          <t>EQ-006</t>
        </is>
      </c>
      <c r="B8" s="7" t="inlineStr">
        <is>
          <t>PAT-1006</t>
        </is>
      </c>
      <c r="C8" s="8" t="inlineStr">
        <is>
          <t>Torno Mecânico</t>
        </is>
      </c>
      <c r="D8" s="8" t="inlineStr">
        <is>
          <t>Produção</t>
        </is>
      </c>
      <c r="E8" s="8" t="inlineStr">
        <is>
          <t>Romi T-240</t>
        </is>
      </c>
      <c r="F8" s="8" t="inlineStr">
        <is>
          <t>RM2026-110</t>
        </is>
      </c>
      <c r="G8" s="8" t="inlineStr">
        <is>
          <t>São Paulo</t>
        </is>
      </c>
      <c r="H8" s="8" t="inlineStr">
        <is>
          <t>Juliana Costa</t>
        </is>
      </c>
      <c r="I8" s="25" t="n">
        <v>46117</v>
      </c>
      <c r="J8" s="26" t="n">
        <v>120000</v>
      </c>
      <c r="K8" s="7" t="n">
        <v>20</v>
      </c>
      <c r="L8" s="7" t="n">
        <v>90</v>
      </c>
      <c r="M8" s="25" t="n">
        <v>46213</v>
      </c>
      <c r="N8" s="25">
        <f>IFERROR(M8+L8,"")</f>
        <v/>
      </c>
      <c r="O8" s="7">
        <f>IF(N8="","Em dia",IF(N8&lt;TODAY(),"Atrasada",IF(N8&lt;=TODAY()+30,"Próxima","Em dia")))</f>
        <v/>
      </c>
      <c r="P8" s="26">
        <f>SUMIF(Manutenções!$C:$C,A8,Manutenções!$L:$L)</f>
        <v/>
      </c>
      <c r="Q8" s="8" t="inlineStr">
        <is>
          <t>Lubrificação semanal</t>
        </is>
      </c>
    </row>
    <row r="9">
      <c r="A9" s="3" t="inlineStr">
        <is>
          <t>EQ-007</t>
        </is>
      </c>
      <c r="B9" s="3" t="inlineStr">
        <is>
          <t>PAT-1007</t>
        </is>
      </c>
      <c r="C9" s="4" t="inlineStr">
        <is>
          <t>Computador Industrial</t>
        </is>
      </c>
      <c r="D9" s="4" t="inlineStr">
        <is>
          <t>TI</t>
        </is>
      </c>
      <c r="E9" s="4" t="inlineStr">
        <is>
          <t>Siemens IPC547G</t>
        </is>
      </c>
      <c r="F9" s="4" t="inlineStr">
        <is>
          <t>SM2026-055</t>
        </is>
      </c>
      <c r="G9" s="4" t="inlineStr">
        <is>
          <t>Campinas</t>
        </is>
      </c>
      <c r="H9" s="4" t="inlineStr">
        <is>
          <t>Rafael Almeida</t>
        </is>
      </c>
      <c r="I9" s="23" t="n">
        <v>46160</v>
      </c>
      <c r="J9" s="24" t="n">
        <v>15000</v>
      </c>
      <c r="K9" s="3" t="n">
        <v>6</v>
      </c>
      <c r="L9" s="3" t="n">
        <v>180</v>
      </c>
      <c r="M9" s="23" t="n">
        <v>46204</v>
      </c>
      <c r="N9" s="23">
        <f>IFERROR(M9+L9,"")</f>
        <v/>
      </c>
      <c r="O9" s="3">
        <f>IF(N9="","Em dia",IF(N9&lt;TODAY(),"Atrasada",IF(N9&lt;=TODAY()+30,"Próxima","Em dia")))</f>
        <v/>
      </c>
      <c r="P9" s="24">
        <f>SUMIF(Manutenções!$C:$C,A9,Manutenções!$L:$L)</f>
        <v/>
      </c>
      <c r="Q9" s="4" t="inlineStr">
        <is>
          <t>Backup mensal</t>
        </is>
      </c>
    </row>
    <row r="10">
      <c r="A10" s="7" t="inlineStr">
        <is>
          <t>EQ-008</t>
        </is>
      </c>
      <c r="B10" s="7" t="inlineStr">
        <is>
          <t>PAT-1008</t>
        </is>
      </c>
      <c r="C10" s="8" t="inlineStr">
        <is>
          <t>Bomba Hidráulica</t>
        </is>
      </c>
      <c r="D10" s="8" t="inlineStr">
        <is>
          <t>Utilidades</t>
        </is>
      </c>
      <c r="E10" s="8" t="inlineStr">
        <is>
          <t>Bosch Rexroth A10</t>
        </is>
      </c>
      <c r="F10" s="8" t="inlineStr">
        <is>
          <t>BR2026-076</t>
        </is>
      </c>
      <c r="G10" s="8" t="inlineStr">
        <is>
          <t>Belo Horizonte</t>
        </is>
      </c>
      <c r="H10" s="8" t="inlineStr">
        <is>
          <t>Camila Ferreira</t>
        </is>
      </c>
      <c r="I10" s="25" t="n">
        <v>46106</v>
      </c>
      <c r="J10" s="26" t="n">
        <v>28000</v>
      </c>
      <c r="K10" s="7" t="n">
        <v>10</v>
      </c>
      <c r="L10" s="7" t="n">
        <v>60</v>
      </c>
      <c r="M10" s="25" t="n">
        <v>46068</v>
      </c>
      <c r="N10" s="25">
        <f>IFERROR(M10+L10,"")</f>
        <v/>
      </c>
      <c r="O10" s="7">
        <f>IF(N10="","Em dia",IF(N10&lt;TODAY(),"Atrasada",IF(N10&lt;=TODAY()+30,"Próxima","Em dia")))</f>
        <v/>
      </c>
      <c r="P10" s="26">
        <f>SUMIF(Manutenções!$C:$C,A10,Manutenções!$L:$L)</f>
        <v/>
      </c>
      <c r="Q10" s="8" t="inlineStr">
        <is>
          <t>Verificar vazamentos</t>
        </is>
      </c>
    </row>
    <row r="11">
      <c r="A11" s="3" t="inlineStr">
        <is>
          <t>EQ-009</t>
        </is>
      </c>
      <c r="B11" s="3" t="inlineStr">
        <is>
          <t>PAT-1009</t>
        </is>
      </c>
      <c r="C11" s="4" t="inlineStr">
        <is>
          <t>Veículo Utilitário</t>
        </is>
      </c>
      <c r="D11" s="4" t="inlineStr">
        <is>
          <t>Frota</t>
        </is>
      </c>
      <c r="E11" s="4" t="inlineStr">
        <is>
          <t>Fiat Ducato Cargo</t>
        </is>
      </c>
      <c r="F11" s="4" t="inlineStr">
        <is>
          <t>FD2026-142</t>
        </is>
      </c>
      <c r="G11" s="4" t="inlineStr">
        <is>
          <t>Curitiba</t>
        </is>
      </c>
      <c r="H11" s="4" t="inlineStr">
        <is>
          <t>Lucas Rodrigues</t>
        </is>
      </c>
      <c r="I11" s="23" t="n">
        <v>46183</v>
      </c>
      <c r="J11" s="24" t="n">
        <v>165000</v>
      </c>
      <c r="K11" s="3" t="n">
        <v>8</v>
      </c>
      <c r="L11" s="3" t="n">
        <v>90</v>
      </c>
      <c r="M11" s="23" t="n">
        <v>46201</v>
      </c>
      <c r="N11" s="23">
        <f>IFERROR(M11+L11,"")</f>
        <v/>
      </c>
      <c r="O11" s="3">
        <f>IF(N11="","Em dia",IF(N11&lt;TODAY(),"Atrasada",IF(N11&lt;=TODAY()+30,"Próxima","Em dia")))</f>
        <v/>
      </c>
      <c r="P11" s="24">
        <f>SUMIF(Manutenções!$C:$C,A11,Manutenções!$L:$L)</f>
        <v/>
      </c>
      <c r="Q11" s="4" t="inlineStr">
        <is>
          <t>Revisão a cada 10.000 km</t>
        </is>
      </c>
    </row>
  </sheetData>
  <autoFilter ref="A2:Q11"/>
  <mergeCells count="1">
    <mergeCell ref="A1:Q1"/>
  </mergeCells>
  <conditionalFormatting sqref="O3:O11">
    <cfRule type="cellIs" priority="1" operator="equal" dxfId="0">
      <formula>"Atrasada"</formula>
    </cfRule>
    <cfRule type="cellIs" priority="2" operator="equal" dxfId="1">
      <formula>"Próxima"</formula>
    </cfRule>
    <cfRule type="cellIs" priority="3" operator="equal" dxfId="2">
      <formula>"Em dia"</formula>
    </cfRule>
  </conditionalFormatting>
  <dataValidations count="3">
    <dataValidation sqref="D3:D11" showErrorMessage="1" showInputMessage="1" allowBlank="1" type="list">
      <formula1>"Movimentação,Utilidades,TI,Climatização,Energia,Produção,Frota"</formula1>
    </dataValidation>
    <dataValidation sqref="G3:G11" showErrorMessage="1" showInputMessage="1" allowBlank="1" type="list">
      <formula1>"São Paulo,Campinas,Belo Horizonte,Curitiba,Recife"</formula1>
    </dataValidation>
    <dataValidation sqref="O3:O11" showErrorMessage="1" showInputMessage="1" allowBlank="1" type="list">
      <formula1>"Atrasada,Próxima,Em dia"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3" customWidth="1" min="3" max="3"/>
    <col width="22" customWidth="1" min="4" max="4"/>
    <col width="16" customWidth="1" min="5" max="5"/>
    <col width="36" customWidth="1" min="6" max="6"/>
    <col width="18" customWidth="1" min="7" max="7"/>
    <col width="14" customWidth="1" min="8" max="8"/>
    <col width="14" customWidth="1" min="9" max="9"/>
    <col width="13" customWidth="1" min="10" max="10"/>
    <col width="14" customWidth="1" min="11" max="11"/>
    <col width="13" customWidth="1" min="12" max="12"/>
    <col width="11" customWidth="1" min="13" max="13"/>
    <col width="13" customWidth="1" min="14" max="14"/>
    <col width="15" customWidth="1" min="15" max="15"/>
    <col width="26" customWidth="1" min="16" max="16"/>
  </cols>
  <sheetData>
    <row r="1" ht="26" customHeight="1">
      <c r="A1" s="1" t="inlineStr">
        <is>
          <t>Ordens de Serviço — Manutenções 2026</t>
        </is>
      </c>
    </row>
    <row r="2" ht="42" customHeight="1">
      <c r="A2" s="2" t="inlineStr">
        <is>
          <t>ID Manutenção</t>
        </is>
      </c>
      <c r="B2" s="2" t="inlineStr">
        <is>
          <t>Data da Solicitação</t>
        </is>
      </c>
      <c r="C2" s="2" t="inlineStr">
        <is>
          <t>ID Equipamento</t>
        </is>
      </c>
      <c r="D2" s="2" t="inlineStr">
        <is>
          <t>Equipamento</t>
        </is>
      </c>
      <c r="E2" s="2" t="inlineStr">
        <is>
          <t>Tipo de Manutenção</t>
        </is>
      </c>
      <c r="F2" s="2" t="inlineStr">
        <is>
          <t>Descrição do Serviço</t>
        </is>
      </c>
      <c r="G2" s="2" t="inlineStr">
        <is>
          <t>Técnico/Fornecedor</t>
        </is>
      </c>
      <c r="H2" s="2" t="inlineStr">
        <is>
          <t>Status</t>
        </is>
      </c>
      <c r="I2" s="2" t="inlineStr">
        <is>
          <t>Data de Conclusão</t>
        </is>
      </c>
      <c r="J2" s="2" t="inlineStr">
        <is>
          <t>Custo de Peças</t>
        </is>
      </c>
      <c r="K2" s="2" t="inlineStr">
        <is>
          <t>Custo de Mão de Obra</t>
        </is>
      </c>
      <c r="L2" s="2" t="inlineStr">
        <is>
          <t>Custo Total</t>
        </is>
      </c>
      <c r="M2" s="2" t="inlineStr">
        <is>
          <t>Horas Paradas</t>
        </is>
      </c>
      <c r="N2" s="2" t="inlineStr">
        <is>
          <t>Indicador</t>
        </is>
      </c>
      <c r="O2" s="2" t="inlineStr">
        <is>
          <t>Nota Fiscal/NF-e</t>
        </is>
      </c>
      <c r="P2" s="2" t="inlineStr">
        <is>
          <t>Observações</t>
        </is>
      </c>
    </row>
    <row r="3">
      <c r="A3" s="3" t="inlineStr">
        <is>
          <t>OS-001</t>
        </is>
      </c>
      <c r="B3" s="23" t="n">
        <v>46032</v>
      </c>
      <c r="C3" s="3" t="inlineStr">
        <is>
          <t>EQ-005</t>
        </is>
      </c>
      <c r="D3" s="4">
        <f>IFERROR(VLOOKUP(C3,Equipamentos!$A:$C,3,FALSE),"Não encontrado")</f>
        <v/>
      </c>
      <c r="E3" s="4" t="inlineStr">
        <is>
          <t>Preventiva</t>
        </is>
      </c>
      <c r="F3" s="4" t="inlineStr">
        <is>
          <t>Teste de carga e troca de óleo do gerador</t>
        </is>
      </c>
      <c r="G3" s="4" t="inlineStr">
        <is>
          <t>Fernanda Lima</t>
        </is>
      </c>
      <c r="H3" s="4" t="inlineStr">
        <is>
          <t>Concluída</t>
        </is>
      </c>
      <c r="I3" s="23" t="n">
        <v>46052</v>
      </c>
      <c r="J3" s="27" t="n">
        <v>1250</v>
      </c>
      <c r="K3" s="27" t="n">
        <v>800</v>
      </c>
      <c r="L3" s="24">
        <f>SUM(J3:K3)</f>
        <v/>
      </c>
      <c r="M3" s="3" t="n">
        <v>6</v>
      </c>
      <c r="N3" s="3">
        <f>IF(H3="Concluída","Finalizada",IF(H3="Em andamento","Em execução","Pendente"))</f>
        <v/>
      </c>
      <c r="O3" s="4" t="inlineStr">
        <is>
          <t>NF-2026-0451</t>
        </is>
      </c>
      <c r="P3" s="4" t="inlineStr">
        <is>
          <t>Rotina trimestral</t>
        </is>
      </c>
    </row>
    <row r="4">
      <c r="A4" s="7" t="inlineStr">
        <is>
          <t>OS-002</t>
        </is>
      </c>
      <c r="B4" s="25" t="n">
        <v>46058</v>
      </c>
      <c r="C4" s="7" t="inlineStr">
        <is>
          <t>EQ-008</t>
        </is>
      </c>
      <c r="D4" s="8">
        <f>IFERROR(VLOOKUP(C4,Equipamentos!$A:$C,3,FALSE),"Não encontrado")</f>
        <v/>
      </c>
      <c r="E4" s="8" t="inlineStr">
        <is>
          <t>Corretiva</t>
        </is>
      </c>
      <c r="F4" s="8" t="inlineStr">
        <is>
          <t>Substituição de vedação da bomba hidráulica</t>
        </is>
      </c>
      <c r="G4" s="8" t="inlineStr">
        <is>
          <t>João Silva</t>
        </is>
      </c>
      <c r="H4" s="8" t="inlineStr">
        <is>
          <t>Concluída</t>
        </is>
      </c>
      <c r="I4" s="25" t="n">
        <v>46068</v>
      </c>
      <c r="J4" s="27" t="n">
        <v>2300</v>
      </c>
      <c r="K4" s="27" t="n">
        <v>1100</v>
      </c>
      <c r="L4" s="26">
        <f>SUM(J4:K4)</f>
        <v/>
      </c>
      <c r="M4" s="7" t="n">
        <v>14</v>
      </c>
      <c r="N4" s="7">
        <f>IF(H4="Concluída","Finalizada",IF(H4="Em andamento","Em execução","Pendente"))</f>
        <v/>
      </c>
      <c r="O4" s="8" t="inlineStr">
        <is>
          <t>NF-2026-0520</t>
        </is>
      </c>
      <c r="P4" s="8" t="inlineStr">
        <is>
          <t>Vazamento corrigido</t>
        </is>
      </c>
    </row>
    <row r="5">
      <c r="A5" s="3" t="inlineStr">
        <is>
          <t>OS-003</t>
        </is>
      </c>
      <c r="B5" s="23" t="n">
        <v>46082</v>
      </c>
      <c r="C5" s="3" t="inlineStr">
        <is>
          <t>EQ-003</t>
        </is>
      </c>
      <c r="D5" s="4">
        <f>IFERROR(VLOOKUP(C5,Equipamentos!$A:$C,3,FALSE),"Não encontrado")</f>
        <v/>
      </c>
      <c r="E5" s="4" t="inlineStr">
        <is>
          <t>Preventiva</t>
        </is>
      </c>
      <c r="F5" s="4" t="inlineStr">
        <is>
          <t>Limpeza de cabeçote e troca de correia</t>
        </is>
      </c>
      <c r="G5" s="4" t="inlineStr">
        <is>
          <t>Pedro Santos</t>
        </is>
      </c>
      <c r="H5" s="4" t="inlineStr">
        <is>
          <t>Concluída</t>
        </is>
      </c>
      <c r="I5" s="23" t="n">
        <v>46086</v>
      </c>
      <c r="J5" s="27" t="n">
        <v>320</v>
      </c>
      <c r="K5" s="27" t="n">
        <v>250</v>
      </c>
      <c r="L5" s="24">
        <f>SUM(J5:K5)</f>
        <v/>
      </c>
      <c r="M5" s="3" t="n">
        <v>3</v>
      </c>
      <c r="N5" s="3">
        <f>IF(H5="Concluída","Finalizada",IF(H5="Em andamento","Em execução","Pendente"))</f>
        <v/>
      </c>
      <c r="O5" s="4" t="inlineStr">
        <is>
          <t>NF-2026-0612</t>
        </is>
      </c>
      <c r="P5" s="4" t="inlineStr">
        <is>
          <t>Sem reincidência</t>
        </is>
      </c>
    </row>
    <row r="6">
      <c r="A6" s="7" t="inlineStr">
        <is>
          <t>OS-004</t>
        </is>
      </c>
      <c r="B6" s="25" t="n">
        <v>46114</v>
      </c>
      <c r="C6" s="7" t="inlineStr">
        <is>
          <t>EQ-002</t>
        </is>
      </c>
      <c r="D6" s="8">
        <f>IFERROR(VLOOKUP(C6,Equipamentos!$A:$C,3,FALSE),"Não encontrado")</f>
        <v/>
      </c>
      <c r="E6" s="8" t="inlineStr">
        <is>
          <t>Preventiva</t>
        </is>
      </c>
      <c r="F6" s="8" t="inlineStr">
        <is>
          <t>Troca de filtros e dreno do compressor</t>
        </is>
      </c>
      <c r="G6" s="8" t="inlineStr">
        <is>
          <t>Maria Oliveira</t>
        </is>
      </c>
      <c r="H6" s="8" t="inlineStr">
        <is>
          <t>Concluída</t>
        </is>
      </c>
      <c r="I6" s="25" t="n">
        <v>46122</v>
      </c>
      <c r="J6" s="27" t="n">
        <v>890</v>
      </c>
      <c r="K6" s="27" t="n">
        <v>600</v>
      </c>
      <c r="L6" s="26">
        <f>SUM(J6:K6)</f>
        <v/>
      </c>
      <c r="M6" s="7" t="n">
        <v>8</v>
      </c>
      <c r="N6" s="7">
        <f>IF(H6="Concluída","Finalizada",IF(H6="Em andamento","Em execução","Pendente"))</f>
        <v/>
      </c>
      <c r="O6" s="8" t="inlineStr">
        <is>
          <t>NF-2026-0708</t>
        </is>
      </c>
      <c r="P6" s="8" t="inlineStr">
        <is>
          <t>Próximo ciclo em 60 dias</t>
        </is>
      </c>
    </row>
    <row r="7">
      <c r="A7" s="3" t="inlineStr">
        <is>
          <t>OS-005</t>
        </is>
      </c>
      <c r="B7" s="23" t="n">
        <v>46157</v>
      </c>
      <c r="C7" s="3" t="inlineStr">
        <is>
          <t>EQ-001</t>
        </is>
      </c>
      <c r="D7" s="4">
        <f>IFERROR(VLOOKUP(C7,Equipamentos!$A:$C,3,FALSE),"Não encontrado")</f>
        <v/>
      </c>
      <c r="E7" s="4" t="inlineStr">
        <is>
          <t>Preditiva</t>
        </is>
      </c>
      <c r="F7" s="4" t="inlineStr">
        <is>
          <t>Análise de vibração e alinhamento da empilhadeira</t>
        </is>
      </c>
      <c r="G7" s="4" t="inlineStr">
        <is>
          <t>Rafael Almeida</t>
        </is>
      </c>
      <c r="H7" s="4" t="inlineStr">
        <is>
          <t>Concluída</t>
        </is>
      </c>
      <c r="I7" s="23" t="n">
        <v>46162</v>
      </c>
      <c r="J7" s="27" t="n">
        <v>450</v>
      </c>
      <c r="K7" s="27" t="n">
        <v>950</v>
      </c>
      <c r="L7" s="24">
        <f>SUM(J7:K7)</f>
        <v/>
      </c>
      <c r="M7" s="3" t="n">
        <v>5</v>
      </c>
      <c r="N7" s="3">
        <f>IF(H7="Concluída","Finalizada",IF(H7="Em andamento","Em execução","Pendente"))</f>
        <v/>
      </c>
      <c r="O7" s="4" t="inlineStr">
        <is>
          <t>NF-2026-0833</t>
        </is>
      </c>
      <c r="P7" s="4" t="inlineStr">
        <is>
          <t>Vibração dentro do padrão</t>
        </is>
      </c>
    </row>
    <row r="8">
      <c r="A8" s="7" t="inlineStr">
        <is>
          <t>OS-006</t>
        </is>
      </c>
      <c r="B8" s="25" t="n">
        <v>46170</v>
      </c>
      <c r="C8" s="7" t="inlineStr">
        <is>
          <t>EQ-004</t>
        </is>
      </c>
      <c r="D8" s="8">
        <f>IFERROR(VLOOKUP(C8,Equipamentos!$A:$C,3,FALSE),"Não encontrado")</f>
        <v/>
      </c>
      <c r="E8" s="8" t="inlineStr">
        <is>
          <t>Preventiva</t>
        </is>
      </c>
      <c r="F8" s="8" t="inlineStr">
        <is>
          <t>Limpeza de serpentinas e recarga de gás</t>
        </is>
      </c>
      <c r="G8" s="8" t="inlineStr">
        <is>
          <t>Ana Souza</t>
        </is>
      </c>
      <c r="H8" s="8" t="inlineStr">
        <is>
          <t>Concluída</t>
        </is>
      </c>
      <c r="I8" s="25" t="n">
        <v>46174</v>
      </c>
      <c r="J8" s="27" t="n">
        <v>1100</v>
      </c>
      <c r="K8" s="27" t="n">
        <v>700</v>
      </c>
      <c r="L8" s="26">
        <f>SUM(J8:K8)</f>
        <v/>
      </c>
      <c r="M8" s="7" t="n">
        <v>7</v>
      </c>
      <c r="N8" s="7">
        <f>IF(H8="Concluída","Finalizada",IF(H8="Em andamento","Em execução","Pendente"))</f>
        <v/>
      </c>
      <c r="O8" s="8" t="inlineStr">
        <is>
          <t>NF-2026-0901</t>
        </is>
      </c>
      <c r="P8" s="8" t="inlineStr">
        <is>
          <t>Gás R-410A</t>
        </is>
      </c>
    </row>
    <row r="9">
      <c r="A9" s="3" t="inlineStr">
        <is>
          <t>OS-007</t>
        </is>
      </c>
      <c r="B9" s="23" t="n">
        <v>46193</v>
      </c>
      <c r="C9" s="3" t="inlineStr">
        <is>
          <t>EQ-009</t>
        </is>
      </c>
      <c r="D9" s="4">
        <f>IFERROR(VLOOKUP(C9,Equipamentos!$A:$C,3,FALSE),"Não encontrado")</f>
        <v/>
      </c>
      <c r="E9" s="4" t="inlineStr">
        <is>
          <t>Preventiva</t>
        </is>
      </c>
      <c r="F9" s="4" t="inlineStr">
        <is>
          <t>Revisão de 10.000 km do utilitário</t>
        </is>
      </c>
      <c r="G9" s="4" t="inlineStr">
        <is>
          <t>Lucas Rodrigues</t>
        </is>
      </c>
      <c r="H9" s="4" t="inlineStr">
        <is>
          <t>Concluída</t>
        </is>
      </c>
      <c r="I9" s="23" t="n">
        <v>46201</v>
      </c>
      <c r="J9" s="27" t="n">
        <v>1850</v>
      </c>
      <c r="K9" s="27" t="n">
        <v>900</v>
      </c>
      <c r="L9" s="24">
        <f>SUM(J9:K9)</f>
        <v/>
      </c>
      <c r="M9" s="3" t="n">
        <v>10</v>
      </c>
      <c r="N9" s="3">
        <f>IF(H9="Concluída","Finalizada",IF(H9="Em andamento","Em execução","Pendente"))</f>
        <v/>
      </c>
      <c r="O9" s="4" t="inlineStr">
        <is>
          <t>NF-2026-1044</t>
        </is>
      </c>
      <c r="P9" s="4" t="inlineStr">
        <is>
          <t>Troca de pastilhas de freio</t>
        </is>
      </c>
    </row>
    <row r="10">
      <c r="A10" s="7" t="inlineStr">
        <is>
          <t>OS-008</t>
        </is>
      </c>
      <c r="B10" s="25" t="n">
        <v>46198</v>
      </c>
      <c r="C10" s="7" t="inlineStr">
        <is>
          <t>EQ-007</t>
        </is>
      </c>
      <c r="D10" s="8">
        <f>IFERROR(VLOOKUP(C10,Equipamentos!$A:$C,3,FALSE),"Não encontrado")</f>
        <v/>
      </c>
      <c r="E10" s="8" t="inlineStr">
        <is>
          <t>Inspeção</t>
        </is>
      </c>
      <c r="F10" s="8" t="inlineStr">
        <is>
          <t>Inspeção elétrica e backup do computador industrial</t>
        </is>
      </c>
      <c r="G10" s="8" t="inlineStr">
        <is>
          <t>Rafael Almeida</t>
        </is>
      </c>
      <c r="H10" s="8" t="inlineStr">
        <is>
          <t>Concluída</t>
        </is>
      </c>
      <c r="I10" s="25" t="n">
        <v>46204</v>
      </c>
      <c r="J10" s="27" t="n">
        <v>0</v>
      </c>
      <c r="K10" s="27" t="n">
        <v>400</v>
      </c>
      <c r="L10" s="26">
        <f>SUM(J10:K10)</f>
        <v/>
      </c>
      <c r="M10" s="7" t="n">
        <v>2</v>
      </c>
      <c r="N10" s="7">
        <f>IF(H10="Concluída","Finalizada",IF(H10="Em andamento","Em execução","Pendente"))</f>
        <v/>
      </c>
      <c r="O10" s="8" t="inlineStr">
        <is>
          <t>NF-2026-1088</t>
        </is>
      </c>
      <c r="P10" s="8" t="inlineStr">
        <is>
          <t>Backup validado</t>
        </is>
      </c>
    </row>
    <row r="11">
      <c r="A11" s="3" t="inlineStr">
        <is>
          <t>OS-009</t>
        </is>
      </c>
      <c r="B11" s="23" t="n">
        <v>46208</v>
      </c>
      <c r="C11" s="3" t="inlineStr">
        <is>
          <t>EQ-006</t>
        </is>
      </c>
      <c r="D11" s="4">
        <f>IFERROR(VLOOKUP(C11,Equipamentos!$A:$C,3,FALSE),"Não encontrado")</f>
        <v/>
      </c>
      <c r="E11" s="4" t="inlineStr">
        <is>
          <t>Preventiva</t>
        </is>
      </c>
      <c r="F11" s="4" t="inlineStr">
        <is>
          <t>Lubrificação e troca de correias do torno</t>
        </is>
      </c>
      <c r="G11" s="4" t="inlineStr">
        <is>
          <t>Juliana Costa</t>
        </is>
      </c>
      <c r="H11" s="4" t="inlineStr">
        <is>
          <t>Em andamento</t>
        </is>
      </c>
      <c r="I11" s="23" t="n"/>
      <c r="J11" s="27" t="n">
        <v>950</v>
      </c>
      <c r="K11" s="27" t="n">
        <v>750</v>
      </c>
      <c r="L11" s="24">
        <f>SUM(J11:K11)</f>
        <v/>
      </c>
      <c r="M11" s="3" t="n">
        <v>12</v>
      </c>
      <c r="N11" s="3">
        <f>IF(H11="Concluída","Finalizada",IF(H11="Em andamento","Em execução","Pendente"))</f>
        <v/>
      </c>
      <c r="O11" s="4" t="inlineStr">
        <is>
          <t>NF-2026-1150</t>
        </is>
      </c>
      <c r="P11" s="4" t="inlineStr">
        <is>
          <t>Aguardando peça</t>
        </is>
      </c>
    </row>
    <row r="12">
      <c r="A12" s="7" t="inlineStr">
        <is>
          <t>OS-010</t>
        </is>
      </c>
      <c r="B12" s="25" t="n">
        <v>46223</v>
      </c>
      <c r="C12" s="7" t="inlineStr">
        <is>
          <t>EQ-005</t>
        </is>
      </c>
      <c r="D12" s="8">
        <f>IFERROR(VLOOKUP(C12,Equipamentos!$A:$C,3,FALSE),"Não encontrado")</f>
        <v/>
      </c>
      <c r="E12" s="8" t="inlineStr">
        <is>
          <t>Corretiva</t>
        </is>
      </c>
      <c r="F12" s="8" t="inlineStr">
        <is>
          <t>Reparo no painel de comando do gerador</t>
        </is>
      </c>
      <c r="G12" s="8" t="inlineStr">
        <is>
          <t>Carlos Pereira</t>
        </is>
      </c>
      <c r="H12" s="8" t="inlineStr">
        <is>
          <t>Pendente</t>
        </is>
      </c>
      <c r="I12" s="25" t="n"/>
      <c r="J12" s="27" t="n">
        <v>0</v>
      </c>
      <c r="K12" s="27" t="n">
        <v>0</v>
      </c>
      <c r="L12" s="26">
        <f>SUM(J12:K12)</f>
        <v/>
      </c>
      <c r="M12" s="7" t="n">
        <v>0</v>
      </c>
      <c r="N12" s="7">
        <f>IF(H12="Concluída","Finalizada",IF(H12="Em andamento","Em execução","Pendente"))</f>
        <v/>
      </c>
      <c r="O12" s="8" t="inlineStr"/>
      <c r="P12" s="8" t="inlineStr">
        <is>
          <t>Aguardar orçamento</t>
        </is>
      </c>
    </row>
  </sheetData>
  <autoFilter ref="A2:P12"/>
  <mergeCells count="1">
    <mergeCell ref="A1:P1"/>
  </mergeCells>
  <conditionalFormatting sqref="H3:H12">
    <cfRule type="cellIs" priority="1" operator="equal" dxfId="2">
      <formula>"Concluída"</formula>
    </cfRule>
    <cfRule type="cellIs" priority="2" operator="equal" dxfId="0">
      <formula>"Pendente"</formula>
    </cfRule>
  </conditionalFormatting>
  <conditionalFormatting sqref="L3:L12">
    <cfRule type="cellIs" priority="3" operator="greaterThan" dxfId="0">
      <formula>3000</formula>
    </cfRule>
  </conditionalFormatting>
  <dataValidations count="2">
    <dataValidation sqref="E3:E12" showErrorMessage="1" showInputMessage="1" allowBlank="1" type="list">
      <formula1>"Preventiva,Corretiva,Preditiva,Inspeção"</formula1>
    </dataValidation>
    <dataValidation sqref="H3:H12" showErrorMessage="1" showInputMessage="1" allowBlank="1" type="list">
      <formula1>"Concluída,Em andamento,Pendente,Cancelada"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4" customWidth="1" min="3" max="3"/>
    <col width="16" customWidth="1" min="4" max="4"/>
    <col width="14" customWidth="1" min="5" max="5"/>
    <col width="4" customWidth="1" min="6" max="6"/>
    <col width="16" customWidth="1" min="7" max="7"/>
    <col width="16" customWidth="1" min="8" max="8"/>
  </cols>
  <sheetData>
    <row r="1" ht="30" customHeight="1">
      <c r="A1" s="1" t="inlineStr">
        <is>
          <t>Controle de Manutenção de Equipamentos — 2026</t>
        </is>
      </c>
    </row>
    <row r="2">
      <c r="A2" s="12" t="inlineStr">
        <is>
          <t>Painel executivo com os principais indicadores de manutenção.</t>
        </is>
      </c>
    </row>
    <row r="3"/>
    <row r="4" ht="30" customHeight="1">
      <c r="A4" s="13" t="inlineStr">
        <is>
          <t>Total de Equipamentos</t>
        </is>
      </c>
      <c r="B4" s="13" t="inlineStr">
        <is>
          <t>Total de Manutenções</t>
        </is>
      </c>
      <c r="C4" s="13" t="inlineStr">
        <is>
          <t>Custo Total de Manutenção</t>
        </is>
      </c>
      <c r="D4" s="13" t="inlineStr">
        <is>
          <t>Custo Médio por Manutenção</t>
        </is>
      </c>
      <c r="E4" s="13" t="inlineStr">
        <is>
          <t>Manutenções Concluídas</t>
        </is>
      </c>
      <c r="F4" s="13" t="inlineStr">
        <is>
          <t>Percentual Concluído</t>
        </is>
      </c>
      <c r="G4" s="13" t="inlineStr">
        <is>
          <t>Equipamentos Atrasados</t>
        </is>
      </c>
    </row>
    <row r="5" ht="26" customHeight="1">
      <c r="A5" s="14">
        <f>COUNTA(Equipamentos!$A$3:$A$11)</f>
        <v/>
      </c>
      <c r="B5" s="14">
        <f>COUNTA(Manutenções!$A$3:$A$12)</f>
        <v/>
      </c>
      <c r="C5" s="28">
        <f>SUM(Manutenções!$L$3:$L$12)</f>
        <v/>
      </c>
      <c r="D5" s="28">
        <f>IFERROR(AVERAGE(Manutenções!$L$3:$L$12),0)</f>
        <v/>
      </c>
      <c r="E5" s="14">
        <f>COUNTIF(Manutenções!$H:$H,"Concluída")</f>
        <v/>
      </c>
      <c r="F5" s="29">
        <f>IFERROR(COUNTIF(Manutenções!$H:$H,"Concluída")/COUNTA(Manutenções!$A$3:$A$12),0)</f>
        <v/>
      </c>
      <c r="G5" s="17">
        <f>COUNTIF(Equipamentos!$O:$O,"Atrasada")</f>
        <v/>
      </c>
    </row>
    <row r="6"/>
    <row r="7">
      <c r="A7" s="18" t="inlineStr">
        <is>
          <t>Custo por equipamento</t>
        </is>
      </c>
      <c r="D7" s="18" t="inlineStr">
        <is>
          <t>Manutenções por tipo</t>
        </is>
      </c>
    </row>
    <row r="8">
      <c r="A8" s="19" t="inlineStr">
        <is>
          <t>Equipamento</t>
        </is>
      </c>
      <c r="B8" s="19" t="inlineStr">
        <is>
          <t>Custo Total</t>
        </is>
      </c>
      <c r="D8" s="19" t="inlineStr">
        <is>
          <t>Tipo</t>
        </is>
      </c>
      <c r="E8" s="19" t="inlineStr">
        <is>
          <t>Quantidade</t>
        </is>
      </c>
    </row>
    <row r="9">
      <c r="A9" s="20">
        <f>Equipamentos!C3</f>
        <v/>
      </c>
      <c r="B9" s="30">
        <f>Equipamentos!P3</f>
        <v/>
      </c>
      <c r="D9" s="20" t="inlineStr">
        <is>
          <t>Preventiva</t>
        </is>
      </c>
      <c r="E9" s="20">
        <f>COUNTIF(Manutenções!$E$3:$E$12,D9)</f>
        <v/>
      </c>
    </row>
    <row r="10">
      <c r="A10" s="20">
        <f>Equipamentos!C4</f>
        <v/>
      </c>
      <c r="B10" s="30">
        <f>Equipamentos!P4</f>
        <v/>
      </c>
      <c r="D10" s="20" t="inlineStr">
        <is>
          <t>Corretiva</t>
        </is>
      </c>
      <c r="E10" s="20">
        <f>COUNTIF(Manutenções!$E$3:$E$12,D10)</f>
        <v/>
      </c>
    </row>
    <row r="11">
      <c r="A11" s="20">
        <f>Equipamentos!C5</f>
        <v/>
      </c>
      <c r="B11" s="30">
        <f>Equipamentos!P5</f>
        <v/>
      </c>
      <c r="D11" s="20" t="inlineStr">
        <is>
          <t>Preditiva</t>
        </is>
      </c>
      <c r="E11" s="20">
        <f>COUNTIF(Manutenções!$E$3:$E$12,D11)</f>
        <v/>
      </c>
    </row>
    <row r="12">
      <c r="A12" s="20">
        <f>Equipamentos!C6</f>
        <v/>
      </c>
      <c r="B12" s="30">
        <f>Equipamentos!P6</f>
        <v/>
      </c>
      <c r="D12" s="20" t="inlineStr">
        <is>
          <t>Inspeção</t>
        </is>
      </c>
      <c r="E12" s="20">
        <f>COUNTIF(Manutenções!$E$3:$E$12,D12)</f>
        <v/>
      </c>
    </row>
    <row r="13">
      <c r="A13" s="20">
        <f>Equipamentos!C7</f>
        <v/>
      </c>
      <c r="B13" s="30">
        <f>Equipamentos!P7</f>
        <v/>
      </c>
    </row>
    <row r="14">
      <c r="A14" s="20">
        <f>Equipamentos!C8</f>
        <v/>
      </c>
      <c r="B14" s="30">
        <f>Equipamentos!P8</f>
        <v/>
      </c>
    </row>
    <row r="15">
      <c r="A15" s="20">
        <f>Equipamentos!C9</f>
        <v/>
      </c>
      <c r="B15" s="30">
        <f>Equipamentos!P9</f>
        <v/>
      </c>
    </row>
    <row r="16">
      <c r="A16" s="20">
        <f>Equipamentos!C10</f>
        <v/>
      </c>
      <c r="B16" s="30">
        <f>Equipamentos!P10</f>
        <v/>
      </c>
    </row>
    <row r="17">
      <c r="A17" s="20">
        <f>Equipamentos!C11</f>
        <v/>
      </c>
      <c r="B17" s="30">
        <f>Equipamentos!P11</f>
        <v/>
      </c>
    </row>
    <row r="18"/>
    <row r="19"/>
    <row r="20">
      <c r="A20" s="18" t="inlineStr">
        <is>
          <t>Manutenções por status</t>
        </is>
      </c>
      <c r="D20" s="18" t="inlineStr">
        <is>
          <t>Manutenções por mês (2026)</t>
        </is>
      </c>
    </row>
    <row r="21">
      <c r="A21" s="19" t="inlineStr">
        <is>
          <t>Status</t>
        </is>
      </c>
      <c r="B21" s="19" t="inlineStr">
        <is>
          <t>Quantidade</t>
        </is>
      </c>
      <c r="D21" s="19" t="inlineStr">
        <is>
          <t>Mês</t>
        </is>
      </c>
      <c r="E21" s="19" t="inlineStr">
        <is>
          <t>Quantidade</t>
        </is>
      </c>
    </row>
    <row r="22">
      <c r="A22" s="20" t="inlineStr">
        <is>
          <t>Concluída</t>
        </is>
      </c>
      <c r="B22" s="20">
        <f>COUNTIF(Manutenções!$H$3:$H$12,A22)</f>
        <v/>
      </c>
      <c r="D22" s="20" t="inlineStr">
        <is>
          <t>Jan</t>
        </is>
      </c>
      <c r="E22" s="20">
        <f>SUMPRODUCT((MONTH(Manutenções!$B$3:$B$12)=1)*(YEAR(Manutenções!$B$3:$B$12)=2026))</f>
        <v/>
      </c>
    </row>
    <row r="23">
      <c r="A23" s="20" t="inlineStr">
        <is>
          <t>Em andamento</t>
        </is>
      </c>
      <c r="B23" s="20">
        <f>COUNTIF(Manutenções!$H$3:$H$12,A23)</f>
        <v/>
      </c>
      <c r="D23" s="20" t="inlineStr">
        <is>
          <t>Fev</t>
        </is>
      </c>
      <c r="E23" s="20">
        <f>SUMPRODUCT((MONTH(Manutenções!$B$3:$B$12)=2)*(YEAR(Manutenções!$B$3:$B$12)=2026))</f>
        <v/>
      </c>
    </row>
    <row r="24">
      <c r="A24" s="20" t="inlineStr">
        <is>
          <t>Pendente</t>
        </is>
      </c>
      <c r="B24" s="20">
        <f>COUNTIF(Manutenções!$H$3:$H$12,A24)</f>
        <v/>
      </c>
      <c r="D24" s="20" t="inlineStr">
        <is>
          <t>Mar</t>
        </is>
      </c>
      <c r="E24" s="20">
        <f>SUMPRODUCT((MONTH(Manutenções!$B$3:$B$12)=3)*(YEAR(Manutenções!$B$3:$B$12)=2026))</f>
        <v/>
      </c>
    </row>
    <row r="25">
      <c r="A25" s="20" t="inlineStr">
        <is>
          <t>Cancelada</t>
        </is>
      </c>
      <c r="B25" s="20">
        <f>COUNTIF(Manutenções!$H$3:$H$12,A25)</f>
        <v/>
      </c>
      <c r="D25" s="20" t="inlineStr">
        <is>
          <t>Abr</t>
        </is>
      </c>
      <c r="E25" s="20">
        <f>SUMPRODUCT((MONTH(Manutenções!$B$3:$B$12)=4)*(YEAR(Manutenções!$B$3:$B$12)=2026))</f>
        <v/>
      </c>
    </row>
    <row r="26">
      <c r="D26" s="20" t="inlineStr">
        <is>
          <t>Mai</t>
        </is>
      </c>
      <c r="E26" s="20">
        <f>SUMPRODUCT((MONTH(Manutenções!$B$3:$B$12)=5)*(YEAR(Manutenções!$B$3:$B$12)=2026))</f>
        <v/>
      </c>
    </row>
    <row r="27">
      <c r="D27" s="20" t="inlineStr">
        <is>
          <t>Jun</t>
        </is>
      </c>
      <c r="E27" s="20">
        <f>SUMPRODUCT((MONTH(Manutenções!$B$3:$B$12)=6)*(YEAR(Manutenções!$B$3:$B$12)=2026))</f>
        <v/>
      </c>
    </row>
    <row r="28">
      <c r="D28" s="20" t="inlineStr">
        <is>
          <t>Jul</t>
        </is>
      </c>
      <c r="E28" s="20">
        <f>SUMPRODUCT((MONTH(Manutenções!$B$3:$B$12)=7)*(YEAR(Manutenções!$B$3:$B$12)=2026))</f>
        <v/>
      </c>
    </row>
    <row r="29">
      <c r="D29" s="20" t="inlineStr">
        <is>
          <t>Ago</t>
        </is>
      </c>
      <c r="E29" s="20">
        <f>SUMPRODUCT((MONTH(Manutenções!$B$3:$B$12)=8)*(YEAR(Manutenções!$B$3:$B$12)=2026))</f>
        <v/>
      </c>
    </row>
    <row r="30">
      <c r="D30" s="20" t="inlineStr">
        <is>
          <t>Set</t>
        </is>
      </c>
      <c r="E30" s="20">
        <f>SUMPRODUCT((MONTH(Manutenções!$B$3:$B$12)=9)*(YEAR(Manutenções!$B$3:$B$12)=2026))</f>
        <v/>
      </c>
    </row>
    <row r="31">
      <c r="D31" s="20" t="inlineStr">
        <is>
          <t>Out</t>
        </is>
      </c>
      <c r="E31" s="20">
        <f>SUMPRODUCT((MONTH(Manutenções!$B$3:$B$12)=10)*(YEAR(Manutenções!$B$3:$B$12)=2026))</f>
        <v/>
      </c>
    </row>
    <row r="32">
      <c r="D32" s="20" t="inlineStr">
        <is>
          <t>Nov</t>
        </is>
      </c>
      <c r="E32" s="20">
        <f>SUMPRODUCT((MONTH(Manutenções!$B$3:$B$12)=11)*(YEAR(Manutenções!$B$3:$B$12)=2026))</f>
        <v/>
      </c>
    </row>
    <row r="33">
      <c r="D33" s="20" t="inlineStr">
        <is>
          <t>Dez</t>
        </is>
      </c>
      <c r="E33" s="20">
        <f>SUMPRODUCT((MONTH(Manutenções!$B$3:$B$12)=12)*(YEAR(Manutenções!$B$3:$B$12)=2026))</f>
        <v/>
      </c>
    </row>
  </sheetData>
  <mergeCells count="2">
    <mergeCell ref="A1:H1"/>
    <mergeCell ref="A2:H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110" customWidth="1" min="1" max="1"/>
    <col width="10" customWidth="1" min="2" max="2"/>
  </cols>
  <sheetData>
    <row r="1" ht="28" customHeight="1">
      <c r="A1" s="1" t="inlineStr">
        <is>
          <t>Como usar o Controle de Manutenção de Equipamentos</t>
        </is>
      </c>
    </row>
    <row r="2"/>
    <row r="3">
      <c r="A3" s="22" t="inlineStr">
        <is>
          <t>Passo 1 — Cadastro de equipamentos</t>
        </is>
      </c>
    </row>
    <row r="4" ht="46" customHeight="1">
      <c r="A4" s="8" t="inlineStr">
        <is>
          <t>Na aba Equipamentos, preencha o ID, o patrimônio (código único do ativo da empresa), a categoria, a localização e o responsável. Use as listas suspensas nas colunas Categoria, Localização e Status para padronizar os cadastros.</t>
        </is>
      </c>
    </row>
    <row r="5"/>
    <row r="6">
      <c r="A6" s="22" t="inlineStr">
        <is>
          <t>Passo 2 — Registro de ordens de serviço</t>
        </is>
      </c>
    </row>
    <row r="7" ht="46" customHeight="1">
      <c r="A7" s="8" t="inlineStr">
        <is>
          <t>Na aba Manutenções, registre cada OS com data, equipamento, tipo, descrição, técnico ou fornecedor, custos de peças e mão de obra (células amarelas) e o número da NF-e. O nome do equipamento e o custo total são calculados automaticamente.</t>
        </is>
      </c>
    </row>
    <row r="8"/>
    <row r="9">
      <c r="A9" s="22" t="inlineStr">
        <is>
          <t>Passo 3 — Tipos de manutenção</t>
        </is>
      </c>
    </row>
    <row r="10" ht="46" customHeight="1">
      <c r="A10" s="8" t="inlineStr">
        <is>
          <t>Preventiva: realizada em intervalos planejados para evitar falhas. Corretiva: executada após a quebra para restaurar o funcionamento. Preditiva: baseada em monitoramento de condição (vibração, temperatura). Inspeção: verificação visual ou funcional periódica.</t>
        </is>
      </c>
    </row>
    <row r="11"/>
    <row r="12">
      <c r="A12" s="22" t="inlineStr">
        <is>
          <t>Passo 4 — Datas de manutenção</t>
        </is>
      </c>
    </row>
    <row r="13" ht="46" customHeight="1">
      <c r="A13" s="8" t="inlineStr">
        <is>
          <t>Ao concluir uma manutenção, atualize a coluna Última Manutenção na aba Equipamentos. A Próxima Manutenção e o Status (Em dia, Próxima ou Atrasada) são calculados automaticamente com base na periodicidade preventiva.</t>
        </is>
      </c>
    </row>
    <row r="14"/>
    <row r="15">
      <c r="A15" s="22" t="inlineStr">
        <is>
          <t>Passo 5 — Filtros e indicadores</t>
        </is>
      </c>
    </row>
    <row r="16" ht="46" customHeight="1">
      <c r="A16" s="8" t="inlineStr">
        <is>
          <t>Use os filtros das tabelas (setas no cabeçalho) para localizar equipamentos por localização ou status. No Dashboard, acompanhe custo total, custo médio, percentual de OS concluídas e equipamentos atrasados, além dos quatro gráficos.</t>
        </is>
      </c>
    </row>
    <row r="17"/>
    <row r="18">
      <c r="A18" s="22" t="inlineStr">
        <is>
          <t>Passo 6 — Boas práticas e LGPD</t>
        </is>
      </c>
    </row>
    <row r="19" ht="46" customHeight="1">
      <c r="A19" s="8" t="inlineStr">
        <is>
          <t>Anexe ou arquive as NF-e citadas em cada OS e mantenha observações objetivas. Dados de responsáveis, técnicos e fornecedores são dados pessoais: trate-os conforme a LGPD e as orientações da ANPD, limitando o acesso e o tempo de retenção ao necessário.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2026-07-30T11:57:19Z</dcterms:created>
  <dcterms:modified xmlns:dcterms="http://purl.org/dc/terms/" xmlns:xsi="http://www.w3.org/2001/XMLSchema-instance" xsi:type="dcterms:W3CDTF">2026-07-30T11:57:19Z</dcterms:modified>
</cp:coreProperties>
</file>