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Projetos" sheetId="2" state="visible" r:id="rId2"/>
    <sheet xmlns:r="http://schemas.openxmlformats.org/officeDocument/2006/relationships" name="Custos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1" hidden="1">'Projetos'!$A$1:$O$9</definedName>
    <definedName name="_xlnm._FilterDatabase" localSheetId="2" hidden="1">'Custos'!$A$1:$R$11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.##0,00"/>
    <numFmt numFmtId="165" formatCode="0,0%"/>
    <numFmt numFmtId="166" formatCode="DD/M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b val="1"/>
      <color rgb="001E293B"/>
      <sz val="14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5" fillId="2" borderId="1" applyAlignment="1" pivotButton="0" quotePrefix="0" xfId="0">
      <alignment horizontal="center" vertical="center" wrapText="1"/>
    </xf>
    <xf numFmtId="1" fontId="6" fillId="4" borderId="1" applyAlignment="1" pivotButton="0" quotePrefix="0" xfId="0">
      <alignment horizontal="center" vertical="center" wrapText="1"/>
    </xf>
    <xf numFmtId="164" fontId="6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6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left" vertical="center" wrapText="1"/>
    </xf>
    <xf numFmtId="0" fontId="2" fillId="5" borderId="0" applyAlignment="1" pivotButton="0" quotePrefix="0" xfId="0">
      <alignment horizontal="left" vertical="center" wrapText="1"/>
    </xf>
    <xf numFmtId="164" fontId="6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6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A16207"/>
      </font>
      <fill>
        <patternFill patternType="solid">
          <fgColor rgb="00FEF9C3"/>
          <bgColor rgb="00FEF9C3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</dxf>
    <dxf>
      <font>
        <color rgb="0016A34A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Orçamento Aprovado x Custo Realizado por Projeto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'Projetos'!I1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'Projetos'!$A$2:$A$9</f>
            </numRef>
          </cat>
          <val>
            <numRef>
              <f>'Projetos'!$I$2:$I$9</f>
            </numRef>
          </val>
        </ser>
        <ser>
          <idx val="1"/>
          <order val="1"/>
          <tx>
            <strRef>
              <f>'Projetos'!J1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'Projetos'!$A$2:$A$9</f>
            </numRef>
          </cat>
          <val>
            <numRef>
              <f>'Projetos'!$J$2:$J$9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numFmt formatCode="&quot;R$&quot; #.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dos Custos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'Dashboard'!C43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'Dashboard'!$B$44:$B$50</f>
            </numRef>
          </cat>
          <val>
            <numRef>
              <f>'Dashboard'!$C$44:$C$50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Custos por Status de Pagamento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'Dashboard'!F43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'Dashboard'!$E$44:$E$46</f>
            </numRef>
          </cat>
          <val>
            <numRef>
              <f>'Dashboard'!$F$44:$F$46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10</row>
      <rowOff>0</rowOff>
    </from>
    <ext cx="612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10</row>
      <rowOff>0</rowOff>
    </from>
    <ext cx="4860000" cy="34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28</row>
      <rowOff>0</rowOff>
    </from>
    <ext cx="61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0"/>
  <sheetViews>
    <sheetView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24" customWidth="1" min="3" max="3"/>
    <col width="24" customWidth="1" min="4" max="4"/>
    <col width="26" customWidth="1" min="5" max="5"/>
    <col width="14" customWidth="1" min="6" max="6"/>
  </cols>
  <sheetData>
    <row r="1" ht="34" customHeight="1">
      <c r="A1" s="1" t="inlineStr">
        <is>
          <t>Dashboard — Custos de Projetos</t>
        </is>
      </c>
    </row>
    <row r="2"/>
    <row r="3">
      <c r="B3" s="2" t="inlineStr">
        <is>
          <t>Indicadores Executivos</t>
        </is>
      </c>
      <c r="C3" s="3" t="n"/>
      <c r="D3" s="3" t="n"/>
      <c r="E3" s="3" t="n"/>
      <c r="F3" s="3" t="n"/>
    </row>
    <row r="4" ht="26" customHeight="1">
      <c r="B4" s="4" t="inlineStr">
        <is>
          <t>Total de Projetos</t>
        </is>
      </c>
      <c r="C4" s="4" t="inlineStr">
        <is>
          <t>Orçamento Total Aprovado</t>
        </is>
      </c>
      <c r="D4" s="4" t="inlineStr">
        <is>
          <t>Custo Total Realizado</t>
        </is>
      </c>
      <c r="E4" s="4" t="inlineStr">
        <is>
          <t>Saldo Total do Orçamento</t>
        </is>
      </c>
    </row>
    <row r="5" ht="30" customHeight="1">
      <c r="B5" s="5">
        <f>COUNTA(Projetos!A2:A9)</f>
        <v/>
      </c>
      <c r="C5" s="24">
        <f>SUM(Projetos!I2:I9)</f>
        <v/>
      </c>
      <c r="D5" s="24">
        <f>SUM(Projetos!J2:J9)</f>
        <v/>
      </c>
      <c r="E5" s="24">
        <f>SUM(Projetos!K2:K9)</f>
        <v/>
      </c>
    </row>
    <row r="6"/>
    <row r="7" ht="26" customHeight="1">
      <c r="B7" s="4" t="inlineStr">
        <is>
          <t>% Médio Consumido</t>
        </is>
      </c>
      <c r="C7" s="4" t="inlineStr">
        <is>
          <t>Projetos Estourados</t>
        </is>
      </c>
      <c r="D7" s="4" t="inlineStr">
        <is>
          <t>Custos Pendentes de Pagamento</t>
        </is>
      </c>
      <c r="E7" s="4" t="inlineStr">
        <is>
          <t>Maior Categoria de Custo</t>
        </is>
      </c>
    </row>
    <row r="8" ht="30" customHeight="1">
      <c r="B8" s="25">
        <f>AVERAGE(Projetos!L2:L9)</f>
        <v/>
      </c>
      <c r="C8" s="5">
        <f>COUNTIF(Projetos!M2:M9,"Estourado")</f>
        <v/>
      </c>
      <c r="D8" s="5">
        <f>COUNTIF(Custos!N2:N11,"Pendente")+COUNTIF(Custos!N2:N11,"Atrasado")</f>
        <v/>
      </c>
      <c r="E8" s="8">
        <f>IFERROR(INDEX(B44:B50,MATCH(MAX(C44:C50),C44:C50,0)),"—")</f>
        <v/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>
      <c r="B42" s="2" t="inlineStr">
        <is>
          <t>Dados Auxiliares para os Gráficos</t>
        </is>
      </c>
      <c r="C42" s="3" t="n"/>
      <c r="D42" s="3" t="n"/>
      <c r="E42" s="3" t="n"/>
      <c r="F42" s="3" t="n"/>
    </row>
    <row r="43">
      <c r="B43" s="9" t="inlineStr">
        <is>
          <t>Categoria</t>
        </is>
      </c>
      <c r="C43" s="9" t="inlineStr">
        <is>
          <t>Valor (R$)</t>
        </is>
      </c>
      <c r="E43" s="9" t="inlineStr">
        <is>
          <t>Status de Pagamento</t>
        </is>
      </c>
      <c r="F43" s="9" t="inlineStr">
        <is>
          <t>Quantidade</t>
        </is>
      </c>
    </row>
    <row r="44">
      <c r="B44" s="10" t="inlineStr">
        <is>
          <t>Mão de obra</t>
        </is>
      </c>
      <c r="C44" s="26">
        <f>SUMIF(Custos!$C$2:$C$11,B44,Custos!$J$2:$J$11)</f>
        <v/>
      </c>
      <c r="E44" s="10" t="inlineStr">
        <is>
          <t>Pago</t>
        </is>
      </c>
      <c r="F44" s="12">
        <f>COUNTIF(Custos!$N$2:$N$11,E44)</f>
        <v/>
      </c>
    </row>
    <row r="45">
      <c r="B45" s="13" t="inlineStr">
        <is>
          <t>Software</t>
        </is>
      </c>
      <c r="C45" s="27">
        <f>SUMIF(Custos!$C$2:$C$11,B45,Custos!$J$2:$J$11)</f>
        <v/>
      </c>
      <c r="E45" s="13" t="inlineStr">
        <is>
          <t>Pendente</t>
        </is>
      </c>
      <c r="F45" s="15">
        <f>COUNTIF(Custos!$N$2:$N$11,E45)</f>
        <v/>
      </c>
    </row>
    <row r="46">
      <c r="B46" s="10" t="inlineStr">
        <is>
          <t>Viagem</t>
        </is>
      </c>
      <c r="C46" s="26">
        <f>SUMIF(Custos!$C$2:$C$11,B46,Custos!$J$2:$J$11)</f>
        <v/>
      </c>
      <c r="E46" s="10" t="inlineStr">
        <is>
          <t>Atrasado</t>
        </is>
      </c>
      <c r="F46" s="12">
        <f>COUNTIF(Custos!$N$2:$N$11,E46)</f>
        <v/>
      </c>
    </row>
    <row r="47">
      <c r="B47" s="13" t="inlineStr">
        <is>
          <t>Hospedagem</t>
        </is>
      </c>
      <c r="C47" s="27">
        <f>SUMIF(Custos!$C$2:$C$11,B47,Custos!$J$2:$J$11)</f>
        <v/>
      </c>
    </row>
    <row r="48">
      <c r="B48" s="10" t="inlineStr">
        <is>
          <t>Material</t>
        </is>
      </c>
      <c r="C48" s="26">
        <f>SUMIF(Custos!$C$2:$C$11,B48,Custos!$J$2:$J$11)</f>
        <v/>
      </c>
    </row>
    <row r="49">
      <c r="B49" s="13" t="inlineStr">
        <is>
          <t>Serviço terceirizado</t>
        </is>
      </c>
      <c r="C49" s="27">
        <f>SUMIF(Custos!$C$2:$C$11,B49,Custos!$J$2:$J$11)</f>
        <v/>
      </c>
    </row>
    <row r="50">
      <c r="B50" s="10" t="inlineStr">
        <is>
          <t>Marketing</t>
        </is>
      </c>
      <c r="C50" s="26">
        <f>SUMIF(Custos!$C$2:$C$11,B50,Custos!$J$2:$J$11)</f>
        <v/>
      </c>
    </row>
  </sheetData>
  <mergeCells count="1">
    <mergeCell ref="A1:P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0" customWidth="1" min="3" max="3"/>
    <col width="20" customWidth="1" min="4" max="4"/>
    <col width="18" customWidth="1" min="5" max="5"/>
    <col width="18" customWidth="1" min="6" max="6"/>
    <col width="14" customWidth="1" min="7" max="7"/>
    <col width="14" customWidth="1" min="8" max="8"/>
    <col width="18" customWidth="1" min="9" max="9"/>
    <col width="18" customWidth="1" min="10" max="10"/>
    <col width="18" customWidth="1" min="11" max="11"/>
    <col width="13" customWidth="1" min="12" max="12"/>
    <col width="22" customWidth="1" min="13" max="13"/>
    <col width="14" customWidth="1" min="14" max="14"/>
    <col width="42" customWidth="1" min="15" max="15"/>
  </cols>
  <sheetData>
    <row r="1" ht="32" customHeight="1">
      <c r="A1" s="9" t="inlineStr">
        <is>
          <t>ID do Projeto</t>
        </is>
      </c>
      <c r="B1" s="9" t="inlineStr">
        <is>
          <t>Projeto</t>
        </is>
      </c>
      <c r="C1" s="9" t="inlineStr">
        <is>
          <t>Cliente</t>
        </is>
      </c>
      <c r="D1" s="9" t="inlineStr">
        <is>
          <t>CNPJ</t>
        </is>
      </c>
      <c r="E1" s="9" t="inlineStr">
        <is>
          <t>Responsável</t>
        </is>
      </c>
      <c r="F1" s="9" t="inlineStr">
        <is>
          <t>Cidade/UF</t>
        </is>
      </c>
      <c r="G1" s="9" t="inlineStr">
        <is>
          <t>Data de Início</t>
        </is>
      </c>
      <c r="H1" s="9" t="inlineStr">
        <is>
          <t>Data de Término</t>
        </is>
      </c>
      <c r="I1" s="9" t="inlineStr">
        <is>
          <t>Orçamento Aprovado</t>
        </is>
      </c>
      <c r="J1" s="9" t="inlineStr">
        <is>
          <t>Custo Realizado</t>
        </is>
      </c>
      <c r="K1" s="9" t="inlineStr">
        <is>
          <t>Saldo do Orçamento</t>
        </is>
      </c>
      <c r="L1" s="9" t="inlineStr">
        <is>
          <t>% Consumido</t>
        </is>
      </c>
      <c r="M1" s="9" t="inlineStr">
        <is>
          <t>Status</t>
        </is>
      </c>
      <c r="N1" s="9" t="inlineStr">
        <is>
          <t>Margem Estimada</t>
        </is>
      </c>
      <c r="O1" s="9" t="inlineStr">
        <is>
          <t>Observações</t>
        </is>
      </c>
    </row>
    <row r="2">
      <c r="A2" s="16" t="inlineStr">
        <is>
          <t>PRJ-001</t>
        </is>
      </c>
      <c r="B2" s="17" t="inlineStr">
        <is>
          <t>Implantação de ERP — Fase 1</t>
        </is>
      </c>
      <c r="C2" s="17" t="inlineStr">
        <is>
          <t>Indústrias Aurora S.A.</t>
        </is>
      </c>
      <c r="D2" s="16" t="inlineStr">
        <is>
          <t>12.345.678/0001-90</t>
        </is>
      </c>
      <c r="E2" s="16" t="inlineStr">
        <is>
          <t>João Silva</t>
        </is>
      </c>
      <c r="F2" s="16" t="inlineStr">
        <is>
          <t>São Paulo/SP</t>
        </is>
      </c>
      <c r="G2" s="28" t="n">
        <v>46027</v>
      </c>
      <c r="H2" s="28" t="n">
        <v>46295</v>
      </c>
      <c r="I2" s="29" t="n">
        <v>62000</v>
      </c>
      <c r="J2" s="26">
        <f>SUMIF(Custos!$B$2:$B$11,A2,Custos!$J$2:$J$11)</f>
        <v/>
      </c>
      <c r="K2" s="26">
        <f>I2-J2</f>
        <v/>
      </c>
      <c r="L2" s="30">
        <f>IFERROR(J2/I2,0)</f>
        <v/>
      </c>
      <c r="M2" s="12">
        <f>IF(L2&gt;1,"Estourado",IF(L2&gt;=0.8,"Atenção","Dentro do orçamento"))</f>
        <v/>
      </c>
      <c r="N2" s="30">
        <f>IFERROR((I2-J2)/I2,0)</f>
        <v/>
      </c>
      <c r="O2" s="10" t="inlineStr">
        <is>
          <t>Cronograma na fase de parametrização</t>
        </is>
      </c>
    </row>
    <row r="3">
      <c r="A3" s="16" t="inlineStr">
        <is>
          <t>PRJ-002</t>
        </is>
      </c>
      <c r="B3" s="17" t="inlineStr">
        <is>
          <t>Consultoria em Transformação Digital</t>
        </is>
      </c>
      <c r="C3" s="17" t="inlineStr">
        <is>
          <t>Comércio Horizonte LTDA</t>
        </is>
      </c>
      <c r="D3" s="16" t="inlineStr">
        <is>
          <t>23.456.789/0001-01</t>
        </is>
      </c>
      <c r="E3" s="16" t="inlineStr">
        <is>
          <t>Maria Oliveira</t>
        </is>
      </c>
      <c r="F3" s="16" t="inlineStr">
        <is>
          <t>Rio de Janeiro/RJ</t>
        </is>
      </c>
      <c r="G3" s="28" t="n">
        <v>46034</v>
      </c>
      <c r="H3" s="28" t="n">
        <v>46249</v>
      </c>
      <c r="I3" s="29" t="n">
        <v>40000</v>
      </c>
      <c r="J3" s="27">
        <f>SUMIF(Custos!$B$2:$B$11,A3,Custos!$J$2:$J$11)</f>
        <v/>
      </c>
      <c r="K3" s="27">
        <f>I3-J3</f>
        <v/>
      </c>
      <c r="L3" s="31">
        <f>IFERROR(J3/I3,0)</f>
        <v/>
      </c>
      <c r="M3" s="15">
        <f>IF(L3&gt;1,"Estourado",IF(L3&gt;=0.8,"Atenção","Dentro do orçamento"))</f>
        <v/>
      </c>
      <c r="N3" s="31">
        <f>IFERROR((I3-J3)/I3,0)</f>
        <v/>
      </c>
      <c r="O3" s="13" t="inlineStr">
        <is>
          <t>Workshops executivos concluídos</t>
        </is>
      </c>
    </row>
    <row r="4">
      <c r="A4" s="16" t="inlineStr">
        <is>
          <t>PRJ-003</t>
        </is>
      </c>
      <c r="B4" s="17" t="inlineStr">
        <is>
          <t>Campanha de Marketing Digital 2026</t>
        </is>
      </c>
      <c r="C4" s="17" t="inlineStr">
        <is>
          <t>Rede VivaMais Varejo</t>
        </is>
      </c>
      <c r="D4" s="16" t="inlineStr">
        <is>
          <t>34.567.890/0001-12</t>
        </is>
      </c>
      <c r="E4" s="16" t="inlineStr">
        <is>
          <t>Pedro Santos</t>
        </is>
      </c>
      <c r="F4" s="16" t="inlineStr">
        <is>
          <t>Belo Horizonte/MG</t>
        </is>
      </c>
      <c r="G4" s="28" t="n">
        <v>46055</v>
      </c>
      <c r="H4" s="28" t="n">
        <v>46356</v>
      </c>
      <c r="I4" s="29" t="n">
        <v>45000</v>
      </c>
      <c r="J4" s="26">
        <f>SUMIF(Custos!$B$2:$B$11,A4,Custos!$J$2:$J$11)</f>
        <v/>
      </c>
      <c r="K4" s="26">
        <f>I4-J4</f>
        <v/>
      </c>
      <c r="L4" s="30">
        <f>IFERROR(J4/I4,0)</f>
        <v/>
      </c>
      <c r="M4" s="12">
        <f>IF(L4&gt;1,"Estourado",IF(L4&gt;=0.8,"Atenção","Dentro do orçamento"))</f>
        <v/>
      </c>
      <c r="N4" s="30">
        <f>IFERROR((I4-J4)/I4,0)</f>
        <v/>
      </c>
      <c r="O4" s="10" t="inlineStr">
        <is>
          <t>Mídia paga em acompanhamento mensal</t>
        </is>
      </c>
    </row>
    <row r="5">
      <c r="A5" s="16" t="inlineStr">
        <is>
          <t>PRJ-004</t>
        </is>
      </c>
      <c r="B5" s="17" t="inlineStr">
        <is>
          <t>Laudo de Engenharia Estrutural</t>
        </is>
      </c>
      <c r="C5" s="17" t="inlineStr">
        <is>
          <t>Construtora Alicerce S.A.</t>
        </is>
      </c>
      <c r="D5" s="16" t="inlineStr">
        <is>
          <t>45.678.901/0001-23</t>
        </is>
      </c>
      <c r="E5" s="16" t="inlineStr">
        <is>
          <t>Ana Souza</t>
        </is>
      </c>
      <c r="F5" s="16" t="inlineStr">
        <is>
          <t>Curitiba/PR</t>
        </is>
      </c>
      <c r="G5" s="28" t="n">
        <v>46090</v>
      </c>
      <c r="H5" s="28" t="n">
        <v>46213</v>
      </c>
      <c r="I5" s="29" t="n">
        <v>9000</v>
      </c>
      <c r="J5" s="27">
        <f>SUMIF(Custos!$B$2:$B$11,A5,Custos!$J$2:$J$11)</f>
        <v/>
      </c>
      <c r="K5" s="27">
        <f>I5-J5</f>
        <v/>
      </c>
      <c r="L5" s="31">
        <f>IFERROR(J5/I5,0)</f>
        <v/>
      </c>
      <c r="M5" s="15">
        <f>IF(L5&gt;1,"Estourado",IF(L5&gt;=0.8,"Atenção","Dentro do orçamento"))</f>
        <v/>
      </c>
      <c r="N5" s="31">
        <f>IFERROR((I5-J5)/I5,0)</f>
        <v/>
      </c>
      <c r="O5" s="13" t="inlineStr">
        <is>
          <t>Escopo ampliado pelo cliente</t>
        </is>
      </c>
    </row>
    <row r="6">
      <c r="A6" s="16" t="inlineStr">
        <is>
          <t>PRJ-005</t>
        </is>
      </c>
      <c r="B6" s="17" t="inlineStr">
        <is>
          <t>Consultoria em Gestão de Projetos (PMO)</t>
        </is>
      </c>
      <c r="C6" s="17" t="inlineStr">
        <is>
          <t>Hospital Santa Clara</t>
        </is>
      </c>
      <c r="D6" s="16" t="inlineStr">
        <is>
          <t>56.789.012/0001-34</t>
        </is>
      </c>
      <c r="E6" s="16" t="inlineStr">
        <is>
          <t>Carlos Pereira</t>
        </is>
      </c>
      <c r="F6" s="16" t="inlineStr">
        <is>
          <t>Recife/PE</t>
        </is>
      </c>
      <c r="G6" s="28" t="n">
        <v>46097</v>
      </c>
      <c r="H6" s="28" t="n">
        <v>46374</v>
      </c>
      <c r="I6" s="29" t="n">
        <v>28000</v>
      </c>
      <c r="J6" s="26">
        <f>SUMIF(Custos!$B$2:$B$11,A6,Custos!$J$2:$J$11)</f>
        <v/>
      </c>
      <c r="K6" s="26">
        <f>I6-J6</f>
        <v/>
      </c>
      <c r="L6" s="30">
        <f>IFERROR(J6/I6,0)</f>
        <v/>
      </c>
      <c r="M6" s="12">
        <f>IF(L6&gt;1,"Estourado",IF(L6&gt;=0.8,"Atenção","Dentro do orçamento"))</f>
        <v/>
      </c>
      <c r="N6" s="30">
        <f>IFERROR((I6-J6)/I6,0)</f>
        <v/>
      </c>
      <c r="O6" s="10" t="inlineStr">
        <is>
          <t>Implantação do escritório de projetos</t>
        </is>
      </c>
    </row>
    <row r="7">
      <c r="A7" s="16" t="inlineStr">
        <is>
          <t>PRJ-006</t>
        </is>
      </c>
      <c r="B7" s="17" t="inlineStr">
        <is>
          <t>Desenvolvimento de Aplicativo Mobile</t>
        </is>
      </c>
      <c r="C7" s="17" t="inlineStr">
        <is>
          <t>Fintech BluePay S.A.</t>
        </is>
      </c>
      <c r="D7" s="16" t="inlineStr">
        <is>
          <t>67.890.123/0001-45</t>
        </is>
      </c>
      <c r="E7" s="16" t="inlineStr">
        <is>
          <t>Juliana Costa</t>
        </is>
      </c>
      <c r="F7" s="16" t="inlineStr">
        <is>
          <t>São Paulo/SP</t>
        </is>
      </c>
      <c r="G7" s="28" t="n">
        <v>46113</v>
      </c>
      <c r="H7" s="28" t="n">
        <v>46325</v>
      </c>
      <c r="I7" s="29" t="n">
        <v>55000</v>
      </c>
      <c r="J7" s="27">
        <f>SUMIF(Custos!$B$2:$B$11,A7,Custos!$J$2:$J$11)</f>
        <v/>
      </c>
      <c r="K7" s="27">
        <f>I7-J7</f>
        <v/>
      </c>
      <c r="L7" s="31">
        <f>IFERROR(J7/I7,0)</f>
        <v/>
      </c>
      <c r="M7" s="15">
        <f>IF(L7&gt;1,"Estourado",IF(L7&gt;=0.8,"Atenção","Dentro do orçamento"))</f>
        <v/>
      </c>
      <c r="N7" s="31">
        <f>IFERROR((I7-J7)/I7,0)</f>
        <v/>
      </c>
      <c r="O7" s="13" t="inlineStr">
        <is>
          <t>MVP previsto para setembro/2026</t>
        </is>
      </c>
    </row>
    <row r="8">
      <c r="A8" s="16" t="inlineStr">
        <is>
          <t>PRJ-007</t>
        </is>
      </c>
      <c r="B8" s="17" t="inlineStr">
        <is>
          <t>Implantação de Sistema de RH</t>
        </is>
      </c>
      <c r="C8" s="17" t="inlineStr">
        <is>
          <t>Grupo Andaluz Alimentos</t>
        </is>
      </c>
      <c r="D8" s="16" t="inlineStr">
        <is>
          <t>78.901.234/0001-56</t>
        </is>
      </c>
      <c r="E8" s="16" t="inlineStr">
        <is>
          <t>Rafael Almeida</t>
        </is>
      </c>
      <c r="F8" s="16" t="inlineStr">
        <is>
          <t>Brasília/DF</t>
        </is>
      </c>
      <c r="G8" s="28" t="n">
        <v>46132</v>
      </c>
      <c r="H8" s="28" t="n">
        <v>46285</v>
      </c>
      <c r="I8" s="29" t="n">
        <v>38000</v>
      </c>
      <c r="J8" s="26">
        <f>SUMIF(Custos!$B$2:$B$11,A8,Custos!$J$2:$J$11)</f>
        <v/>
      </c>
      <c r="K8" s="26">
        <f>I8-J8</f>
        <v/>
      </c>
      <c r="L8" s="30">
        <f>IFERROR(J8/I8,0)</f>
        <v/>
      </c>
      <c r="M8" s="12">
        <f>IF(L8&gt;1,"Estourado",IF(L8&gt;=0.8,"Atenção","Dentro do orçamento"))</f>
        <v/>
      </c>
      <c r="N8" s="30">
        <f>IFERROR((I8-J8)/I8,0)</f>
        <v/>
      </c>
      <c r="O8" s="10" t="inlineStr">
        <is>
          <t>Migração de dados em andamento</t>
        </is>
      </c>
    </row>
    <row r="9">
      <c r="A9" s="16" t="inlineStr">
        <is>
          <t>PRJ-008</t>
        </is>
      </c>
      <c r="B9" s="17" t="inlineStr">
        <is>
          <t>Auditoria de Infraestrutura de TI</t>
        </is>
      </c>
      <c r="C9" s="17" t="inlineStr">
        <is>
          <t>Transportadora RotaSul</t>
        </is>
      </c>
      <c r="D9" s="16" t="inlineStr">
        <is>
          <t>89.012.345/0001-67</t>
        </is>
      </c>
      <c r="E9" s="16" t="inlineStr">
        <is>
          <t>Camila Ferreira</t>
        </is>
      </c>
      <c r="F9" s="16" t="inlineStr">
        <is>
          <t>Porto Alegre/RS</t>
        </is>
      </c>
      <c r="G9" s="28" t="n">
        <v>46146</v>
      </c>
      <c r="H9" s="28" t="n">
        <v>46265</v>
      </c>
      <c r="I9" s="29" t="n">
        <v>22000</v>
      </c>
      <c r="J9" s="27">
        <f>SUMIF(Custos!$B$2:$B$11,A9,Custos!$J$2:$J$11)</f>
        <v/>
      </c>
      <c r="K9" s="27">
        <f>I9-J9</f>
        <v/>
      </c>
      <c r="L9" s="31">
        <f>IFERROR(J9/I9,0)</f>
        <v/>
      </c>
      <c r="M9" s="15">
        <f>IF(L9&gt;1,"Estourado",IF(L9&gt;=0.8,"Atenção","Dentro do orçamento"))</f>
        <v/>
      </c>
      <c r="N9" s="31">
        <f>IFERROR((I9-J9)/I9,0)</f>
        <v/>
      </c>
      <c r="O9" s="13" t="inlineStr">
        <is>
          <t>Início dos levantamentos em campo</t>
        </is>
      </c>
    </row>
  </sheetData>
  <autoFilter ref="A1:O9"/>
  <conditionalFormatting sqref="M2:M9">
    <cfRule type="expression" priority="1" dxfId="0" stopIfTrue="1">
      <formula>$M2="Estourado"</formula>
    </cfRule>
    <cfRule type="expression" priority="2" dxfId="1" stopIfTrue="1">
      <formula>$M2="Atenção"</formula>
    </cfRule>
    <cfRule type="expression" priority="3" dxfId="2" stopIfTrue="1">
      <formula>$M2="Dentro do orçamento"</formula>
    </cfRule>
  </conditionalFormatting>
  <conditionalFormatting sqref="K2:K9">
    <cfRule type="cellIs" priority="4" operator="lessThan" dxfId="3">
      <formula>0</formula>
    </cfRule>
    <cfRule type="cellIs" priority="5" operator="greaterThanOrEqual" dxfId="4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8" customWidth="1" min="3" max="3"/>
    <col width="42" customWidth="1" min="4" max="4"/>
    <col width="32" customWidth="1" min="5" max="5"/>
    <col width="20" customWidth="1" min="6" max="6"/>
    <col width="15" customWidth="1" min="7" max="7"/>
    <col width="16" customWidth="1" min="8" max="8"/>
    <col width="20" customWidth="1" min="9" max="9"/>
    <col width="15" customWidth="1" min="10" max="10"/>
    <col width="18" customWidth="1" min="11" max="11"/>
    <col width="15" customWidth="1" min="12" max="12"/>
    <col width="22" customWidth="1" min="13" max="13"/>
    <col width="18" customWidth="1" min="14" max="14"/>
    <col width="24" customWidth="1" min="15" max="15"/>
    <col width="34" customWidth="1" min="16" max="16"/>
    <col width="40" customWidth="1" min="17" max="17"/>
    <col width="20" customWidth="1" min="18" max="18"/>
  </cols>
  <sheetData>
    <row r="1" ht="32" customHeight="1">
      <c r="A1" s="9" t="inlineStr">
        <is>
          <t>ID do Custo</t>
        </is>
      </c>
      <c r="B1" s="9" t="inlineStr">
        <is>
          <t>ID do Projeto</t>
        </is>
      </c>
      <c r="C1" s="9" t="inlineStr">
        <is>
          <t>Categoria</t>
        </is>
      </c>
      <c r="D1" s="9" t="inlineStr">
        <is>
          <t>Descrição</t>
        </is>
      </c>
      <c r="E1" s="9" t="inlineStr">
        <is>
          <t>Fornecedor/Prestador</t>
        </is>
      </c>
      <c r="F1" s="9" t="inlineStr">
        <is>
          <t>CPF/CNPJ</t>
        </is>
      </c>
      <c r="G1" s="9" t="inlineStr">
        <is>
          <t>Nota Fiscal/NF-e</t>
        </is>
      </c>
      <c r="H1" s="9" t="inlineStr">
        <is>
          <t>Data do Lançamento</t>
        </is>
      </c>
      <c r="I1" s="9" t="inlineStr">
        <is>
          <t>Centro de Custo</t>
        </is>
      </c>
      <c r="J1" s="9" t="inlineStr">
        <is>
          <t>Valor Bruto</t>
        </is>
      </c>
      <c r="K1" s="9" t="inlineStr">
        <is>
          <t>Impostos/Retenções</t>
        </is>
      </c>
      <c r="L1" s="9" t="inlineStr">
        <is>
          <t>Valor Líquido</t>
        </is>
      </c>
      <c r="M1" s="9" t="inlineStr">
        <is>
          <t>Forma de Pagamento</t>
        </is>
      </c>
      <c r="N1" s="9" t="inlineStr">
        <is>
          <t>Status de Pagamento</t>
        </is>
      </c>
      <c r="O1" s="9" t="inlineStr">
        <is>
          <t>Responsável pelo Lançamento</t>
        </is>
      </c>
      <c r="P1" s="9" t="inlineStr">
        <is>
          <t>Observações</t>
        </is>
      </c>
      <c r="Q1" s="9" t="inlineStr">
        <is>
          <t>Projeto Vinculado (Validação)</t>
        </is>
      </c>
      <c r="R1" s="9" t="inlineStr">
        <is>
          <t>Situação do Pagamento</t>
        </is>
      </c>
    </row>
    <row r="2">
      <c r="A2" s="16" t="inlineStr">
        <is>
          <t>CT-001</t>
        </is>
      </c>
      <c r="B2" s="16" t="inlineStr">
        <is>
          <t>PRJ-001</t>
        </is>
      </c>
      <c r="C2" s="16" t="inlineStr">
        <is>
          <t>Mão de obra</t>
        </is>
      </c>
      <c r="D2" s="17" t="inlineStr">
        <is>
          <t>Equipe de desenvolvimento — Sprint 1</t>
        </is>
      </c>
      <c r="E2" s="17" t="inlineStr">
        <is>
          <t>TechDev Consultoria LTDA</t>
        </is>
      </c>
      <c r="F2" s="16" t="inlineStr">
        <is>
          <t>23.456.789/0001-01</t>
        </is>
      </c>
      <c r="G2" s="16" t="inlineStr">
        <is>
          <t>NF-e 45.210</t>
        </is>
      </c>
      <c r="H2" s="28" t="n">
        <v>46037</v>
      </c>
      <c r="I2" s="16" t="inlineStr">
        <is>
          <t>CC-102 · Tecnologia</t>
        </is>
      </c>
      <c r="J2" s="29" t="n">
        <v>48000</v>
      </c>
      <c r="K2" s="29" t="n">
        <v>5280</v>
      </c>
      <c r="L2" s="26">
        <f>J2-K2</f>
        <v/>
      </c>
      <c r="M2" s="16" t="inlineStr">
        <is>
          <t>Transferência bancária</t>
        </is>
      </c>
      <c r="N2" s="16" t="inlineStr">
        <is>
          <t>Pago</t>
        </is>
      </c>
      <c r="O2" s="16" t="inlineStr">
        <is>
          <t>João Silva</t>
        </is>
      </c>
      <c r="P2" s="17" t="inlineStr">
        <is>
          <t>Contrato nº 2026-014</t>
        </is>
      </c>
      <c r="Q2" s="10">
        <f>IFERROR(VLOOKUP(B2,Projetos!$A$2:$B$9,2,FALSE),"Projeto não encontrado")</f>
        <v/>
      </c>
      <c r="R2" s="10">
        <f>IF(N2="Pago","Concluído",IF(H2&lt;TODAY(),"Atrasado","Pendente"))</f>
        <v/>
      </c>
    </row>
    <row r="3">
      <c r="A3" s="16" t="inlineStr">
        <is>
          <t>CT-002</t>
        </is>
      </c>
      <c r="B3" s="16" t="inlineStr">
        <is>
          <t>PRJ-001</t>
        </is>
      </c>
      <c r="C3" s="16" t="inlineStr">
        <is>
          <t>Software</t>
        </is>
      </c>
      <c r="D3" s="17" t="inlineStr">
        <is>
          <t>Licenças anuais de ferramentas de gestão</t>
        </is>
      </c>
      <c r="E3" s="17" t="inlineStr">
        <is>
          <t>SoftWareHouse S.A.</t>
        </is>
      </c>
      <c r="F3" s="16" t="inlineStr">
        <is>
          <t>34.567.890/0001-12</t>
        </is>
      </c>
      <c r="G3" s="16" t="inlineStr">
        <is>
          <t>NF-e 11.874</t>
        </is>
      </c>
      <c r="H3" s="28" t="n">
        <v>46044</v>
      </c>
      <c r="I3" s="16" t="inlineStr">
        <is>
          <t>CC-102 · Tecnologia</t>
        </is>
      </c>
      <c r="J3" s="29" t="n">
        <v>8500</v>
      </c>
      <c r="K3" s="29" t="n">
        <v>765</v>
      </c>
      <c r="L3" s="27">
        <f>J3-K3</f>
        <v/>
      </c>
      <c r="M3" s="16" t="inlineStr">
        <is>
          <t>Cartão corporativo</t>
        </is>
      </c>
      <c r="N3" s="16" t="inlineStr">
        <is>
          <t>Pago</t>
        </is>
      </c>
      <c r="O3" s="16" t="inlineStr">
        <is>
          <t>Maria Oliveira</t>
        </is>
      </c>
      <c r="P3" s="17" t="inlineStr">
        <is>
          <t>Renovação anual</t>
        </is>
      </c>
      <c r="Q3" s="13">
        <f>IFERROR(VLOOKUP(B3,Projetos!$A$2:$B$9,2,FALSE),"Projeto não encontrado")</f>
        <v/>
      </c>
      <c r="R3" s="13">
        <f>IF(N3="Pago","Concluído",IF(H3&lt;TODAY(),"Atrasado","Pendente"))</f>
        <v/>
      </c>
    </row>
    <row r="4">
      <c r="A4" s="16" t="inlineStr">
        <is>
          <t>CT-003</t>
        </is>
      </c>
      <c r="B4" s="16" t="inlineStr">
        <is>
          <t>PRJ-002</t>
        </is>
      </c>
      <c r="C4" s="16" t="inlineStr">
        <is>
          <t>Mão de obra</t>
        </is>
      </c>
      <c r="D4" s="17" t="inlineStr">
        <is>
          <t>Consultores seniores — diagnóstico digital</t>
        </is>
      </c>
      <c r="E4" s="17" t="inlineStr">
        <is>
          <t>Ana Beatriz Ramos (Pessoa Física)</t>
        </is>
      </c>
      <c r="F4" s="16" t="inlineStr">
        <is>
          <t>123.456.789-00</t>
        </is>
      </c>
      <c r="G4" s="16" t="inlineStr">
        <is>
          <t>NFS-e 8.901</t>
        </is>
      </c>
      <c r="H4" s="28" t="n">
        <v>46063</v>
      </c>
      <c r="I4" s="16" t="inlineStr">
        <is>
          <t>CC-101 · Projetos</t>
        </is>
      </c>
      <c r="J4" s="29" t="n">
        <v>32000</v>
      </c>
      <c r="K4" s="29" t="n">
        <v>4640</v>
      </c>
      <c r="L4" s="26">
        <f>J4-K4</f>
        <v/>
      </c>
      <c r="M4" s="16" t="inlineStr">
        <is>
          <t>Transferência bancária</t>
        </is>
      </c>
      <c r="N4" s="16" t="inlineStr">
        <is>
          <t>Pago</t>
        </is>
      </c>
      <c r="O4" s="16" t="inlineStr">
        <is>
          <t>Pedro Santos</t>
        </is>
      </c>
      <c r="P4" s="17" t="inlineStr">
        <is>
          <t>Retenção de INSS e IRRF</t>
        </is>
      </c>
      <c r="Q4" s="10">
        <f>IFERROR(VLOOKUP(B4,Projetos!$A$2:$B$9,2,FALSE),"Projeto não encontrado")</f>
        <v/>
      </c>
      <c r="R4" s="10">
        <f>IF(N4="Pago","Concluído",IF(H4&lt;TODAY(),"Atrasado","Pendente"))</f>
        <v/>
      </c>
    </row>
    <row r="5">
      <c r="A5" s="16" t="inlineStr">
        <is>
          <t>CT-004</t>
        </is>
      </c>
      <c r="B5" s="16" t="inlineStr">
        <is>
          <t>PRJ-002</t>
        </is>
      </c>
      <c r="C5" s="16" t="inlineStr">
        <is>
          <t>Viagem</t>
        </is>
      </c>
      <c r="D5" s="17" t="inlineStr">
        <is>
          <t>Passagens aéreas RJ–SP para workshops</t>
        </is>
      </c>
      <c r="E5" s="17" t="inlineStr">
        <is>
          <t>VoMax Viagens LTDA</t>
        </is>
      </c>
      <c r="F5" s="16" t="inlineStr">
        <is>
          <t>45.678.901/0001-23</t>
        </is>
      </c>
      <c r="G5" s="16" t="inlineStr">
        <is>
          <t>NF-e 78.552</t>
        </is>
      </c>
      <c r="H5" s="28" t="n">
        <v>46080</v>
      </c>
      <c r="I5" s="16" t="inlineStr">
        <is>
          <t>CC-101 · Projetos</t>
        </is>
      </c>
      <c r="J5" s="29" t="n">
        <v>4200</v>
      </c>
      <c r="K5" s="29" t="n">
        <v>0</v>
      </c>
      <c r="L5" s="27">
        <f>J5-K5</f>
        <v/>
      </c>
      <c r="M5" s="16" t="inlineStr">
        <is>
          <t>PIX</t>
        </is>
      </c>
      <c r="N5" s="16" t="inlineStr">
        <is>
          <t>Pendente</t>
        </is>
      </c>
      <c r="O5" s="16" t="inlineStr">
        <is>
          <t>Ana Souza</t>
        </is>
      </c>
      <c r="P5" s="17" t="inlineStr">
        <is>
          <t>Aguardando faturamento</t>
        </is>
      </c>
      <c r="Q5" s="13">
        <f>IFERROR(VLOOKUP(B5,Projetos!$A$2:$B$9,2,FALSE),"Projeto não encontrado")</f>
        <v/>
      </c>
      <c r="R5" s="13">
        <f>IF(N5="Pago","Concluído",IF(H5&lt;TODAY(),"Atrasado","Pendente"))</f>
        <v/>
      </c>
    </row>
    <row r="6">
      <c r="A6" s="16" t="inlineStr">
        <is>
          <t>CT-005</t>
        </is>
      </c>
      <c r="B6" s="16" t="inlineStr">
        <is>
          <t>PRJ-003</t>
        </is>
      </c>
      <c r="C6" s="16" t="inlineStr">
        <is>
          <t>Marketing</t>
        </is>
      </c>
      <c r="D6" s="17" t="inlineStr">
        <is>
          <t>Gestão de mídia paga — trimestre 1</t>
        </is>
      </c>
      <c r="E6" s="17" t="inlineStr">
        <is>
          <t>Agência Propulsor Digital</t>
        </is>
      </c>
      <c r="F6" s="16" t="inlineStr">
        <is>
          <t>56.789.012/0001-34</t>
        </is>
      </c>
      <c r="G6" s="16" t="inlineStr">
        <is>
          <t>NF-e 33.118</t>
        </is>
      </c>
      <c r="H6" s="28" t="n">
        <v>46093</v>
      </c>
      <c r="I6" s="16" t="inlineStr">
        <is>
          <t>CC-103 · Marketing</t>
        </is>
      </c>
      <c r="J6" s="29" t="n">
        <v>12500</v>
      </c>
      <c r="K6" s="29" t="n">
        <v>1625</v>
      </c>
      <c r="L6" s="26">
        <f>J6-K6</f>
        <v/>
      </c>
      <c r="M6" s="16" t="inlineStr">
        <is>
          <t>Boleto bancário</t>
        </is>
      </c>
      <c r="N6" s="16" t="inlineStr">
        <is>
          <t>Pago</t>
        </is>
      </c>
      <c r="O6" s="16" t="inlineStr">
        <is>
          <t>Carlos Pereira</t>
        </is>
      </c>
      <c r="P6" s="17" t="inlineStr">
        <is>
          <t>Inclui verba de anúncios</t>
        </is>
      </c>
      <c r="Q6" s="10">
        <f>IFERROR(VLOOKUP(B6,Projetos!$A$2:$B$9,2,FALSE),"Projeto não encontrado")</f>
        <v/>
      </c>
      <c r="R6" s="10">
        <f>IF(N6="Pago","Concluído",IF(H6&lt;TODAY(),"Atrasado","Pendente"))</f>
        <v/>
      </c>
    </row>
    <row r="7">
      <c r="A7" s="16" t="inlineStr">
        <is>
          <t>CT-006</t>
        </is>
      </c>
      <c r="B7" s="16" t="inlineStr">
        <is>
          <t>PRJ-003</t>
        </is>
      </c>
      <c r="C7" s="16" t="inlineStr">
        <is>
          <t>Serviço terceirizado</t>
        </is>
      </c>
      <c r="D7" s="17" t="inlineStr">
        <is>
          <t>Produção de vídeos institucionais</t>
        </is>
      </c>
      <c r="E7" s="17" t="inlineStr">
        <is>
          <t>Estúdio Frame Filmes</t>
        </is>
      </c>
      <c r="F7" s="16" t="inlineStr">
        <is>
          <t>67.890.123/0001-45</t>
        </is>
      </c>
      <c r="G7" s="16" t="inlineStr">
        <is>
          <t>NF-e 9.407</t>
        </is>
      </c>
      <c r="H7" s="28" t="n">
        <v>46121</v>
      </c>
      <c r="I7" s="16" t="inlineStr">
        <is>
          <t>CC-103 · Marketing</t>
        </is>
      </c>
      <c r="J7" s="29" t="n">
        <v>18750</v>
      </c>
      <c r="K7" s="29" t="n">
        <v>2437.5</v>
      </c>
      <c r="L7" s="27">
        <f>J7-K7</f>
        <v/>
      </c>
      <c r="M7" s="16" t="inlineStr">
        <is>
          <t>Transferência bancária</t>
        </is>
      </c>
      <c r="N7" s="16" t="inlineStr">
        <is>
          <t>Pago</t>
        </is>
      </c>
      <c r="O7" s="16" t="inlineStr">
        <is>
          <t>Juliana Costa</t>
        </is>
      </c>
      <c r="P7" s="17" t="inlineStr">
        <is>
          <t>Entrega em 3 etapas</t>
        </is>
      </c>
      <c r="Q7" s="13">
        <f>IFERROR(VLOOKUP(B7,Projetos!$A$2:$B$9,2,FALSE),"Projeto não encontrado")</f>
        <v/>
      </c>
      <c r="R7" s="13">
        <f>IF(N7="Pago","Concluído",IF(H7&lt;TODAY(),"Atrasado","Pendente"))</f>
        <v/>
      </c>
    </row>
    <row r="8">
      <c r="A8" s="16" t="inlineStr">
        <is>
          <t>CT-007</t>
        </is>
      </c>
      <c r="B8" s="16" t="inlineStr">
        <is>
          <t>PRJ-004</t>
        </is>
      </c>
      <c r="C8" s="16" t="inlineStr">
        <is>
          <t>Material</t>
        </is>
      </c>
      <c r="D8" s="17" t="inlineStr">
        <is>
          <t>Equipamentos para ensaios estruturais</t>
        </is>
      </c>
      <c r="E8" s="17" t="inlineStr">
        <is>
          <t>Ferragens Central LTDA</t>
        </is>
      </c>
      <c r="F8" s="16" t="inlineStr">
        <is>
          <t>78.901.234/0001-56</t>
        </is>
      </c>
      <c r="G8" s="16" t="inlineStr">
        <is>
          <t>NF-e 56.903</t>
        </is>
      </c>
      <c r="H8" s="28" t="n">
        <v>46135</v>
      </c>
      <c r="I8" s="16" t="inlineStr">
        <is>
          <t>CC-104 · Operações</t>
        </is>
      </c>
      <c r="J8" s="29" t="n">
        <v>9800</v>
      </c>
      <c r="K8" s="29" t="n">
        <v>882</v>
      </c>
      <c r="L8" s="26">
        <f>J8-K8</f>
        <v/>
      </c>
      <c r="M8" s="16" t="inlineStr">
        <is>
          <t>Boleto bancário</t>
        </is>
      </c>
      <c r="N8" s="16" t="inlineStr">
        <is>
          <t>Pendente</t>
        </is>
      </c>
      <c r="O8" s="16" t="inlineStr">
        <is>
          <t>Rafael Almeida</t>
        </is>
      </c>
      <c r="P8" s="17" t="inlineStr">
        <is>
          <t>Compra emergencial aprovada</t>
        </is>
      </c>
      <c r="Q8" s="10">
        <f>IFERROR(VLOOKUP(B8,Projetos!$A$2:$B$9,2,FALSE),"Projeto não encontrado")</f>
        <v/>
      </c>
      <c r="R8" s="10">
        <f>IF(N8="Pago","Concluído",IF(H8&lt;TODAY(),"Atrasado","Pendente"))</f>
        <v/>
      </c>
    </row>
    <row r="9">
      <c r="A9" s="16" t="inlineStr">
        <is>
          <t>CT-008</t>
        </is>
      </c>
      <c r="B9" s="16" t="inlineStr">
        <is>
          <t>PRJ-005</t>
        </is>
      </c>
      <c r="C9" s="16" t="inlineStr">
        <is>
          <t>Hospedagem</t>
        </is>
      </c>
      <c r="D9" s="17" t="inlineStr">
        <is>
          <t>Hospedagem da equipe em Recife — 5 diárias</t>
        </is>
      </c>
      <c r="E9" s="17" t="inlineStr">
        <is>
          <t>Rede Hoteleira Mar Azul</t>
        </is>
      </c>
      <c r="F9" s="16" t="inlineStr">
        <is>
          <t>89.012.345/0001-67</t>
        </is>
      </c>
      <c r="G9" s="16" t="inlineStr">
        <is>
          <t>NF-e 21.766</t>
        </is>
      </c>
      <c r="H9" s="28" t="n">
        <v>46156</v>
      </c>
      <c r="I9" s="16" t="inlineStr">
        <is>
          <t>CC-101 · Projetos</t>
        </is>
      </c>
      <c r="J9" s="29" t="n">
        <v>3350</v>
      </c>
      <c r="K9" s="29" t="n">
        <v>167.5</v>
      </c>
      <c r="L9" s="27">
        <f>J9-K9</f>
        <v/>
      </c>
      <c r="M9" s="16" t="inlineStr">
        <is>
          <t>Cartão corporativo</t>
        </is>
      </c>
      <c r="N9" s="16" t="inlineStr">
        <is>
          <t>Pago</t>
        </is>
      </c>
      <c r="O9" s="16" t="inlineStr">
        <is>
          <t>Camila Ferreira</t>
        </is>
      </c>
      <c r="P9" s="17" t="inlineStr">
        <is>
          <t>Tarifa corporativa</t>
        </is>
      </c>
      <c r="Q9" s="13">
        <f>IFERROR(VLOOKUP(B9,Projetos!$A$2:$B$9,2,FALSE),"Projeto não encontrado")</f>
        <v/>
      </c>
      <c r="R9" s="13">
        <f>IF(N9="Pago","Concluído",IF(H9&lt;TODAY(),"Atrasado","Pendente"))</f>
        <v/>
      </c>
    </row>
    <row r="10">
      <c r="A10" s="16" t="inlineStr">
        <is>
          <t>CT-009</t>
        </is>
      </c>
      <c r="B10" s="16" t="inlineStr">
        <is>
          <t>PRJ-006</t>
        </is>
      </c>
      <c r="C10" s="16" t="inlineStr">
        <is>
          <t>Mão de obra</t>
        </is>
      </c>
      <c r="D10" s="17" t="inlineStr">
        <is>
          <t>Squad mobile — desenvolvimento iOS/Android</t>
        </is>
      </c>
      <c r="E10" s="17" t="inlineStr">
        <is>
          <t>DevHouse Tecnologia LTDA</t>
        </is>
      </c>
      <c r="F10" s="16" t="inlineStr">
        <is>
          <t>90.123.456/0001-78</t>
        </is>
      </c>
      <c r="G10" s="16" t="inlineStr">
        <is>
          <t>NF-e 64.330</t>
        </is>
      </c>
      <c r="H10" s="28" t="n">
        <v>46192</v>
      </c>
      <c r="I10" s="16" t="inlineStr">
        <is>
          <t>CC-102 · Tecnologia</t>
        </is>
      </c>
      <c r="J10" s="29" t="n">
        <v>26500</v>
      </c>
      <c r="K10" s="29" t="n">
        <v>2915</v>
      </c>
      <c r="L10" s="26">
        <f>J10-K10</f>
        <v/>
      </c>
      <c r="M10" s="16" t="inlineStr">
        <is>
          <t>Transferência bancária</t>
        </is>
      </c>
      <c r="N10" s="16" t="inlineStr">
        <is>
          <t>Pendente</t>
        </is>
      </c>
      <c r="O10" s="16" t="inlineStr">
        <is>
          <t>João Silva</t>
        </is>
      </c>
      <c r="P10" s="17" t="inlineStr">
        <is>
          <t>Medição de junho/2026</t>
        </is>
      </c>
      <c r="Q10" s="10">
        <f>IFERROR(VLOOKUP(B10,Projetos!$A$2:$B$9,2,FALSE),"Projeto não encontrado")</f>
        <v/>
      </c>
      <c r="R10" s="10">
        <f>IF(N10="Pago","Concluído",IF(H10&lt;TODAY(),"Atrasado","Pendente"))</f>
        <v/>
      </c>
    </row>
    <row r="11">
      <c r="A11" s="16" t="inlineStr">
        <is>
          <t>CT-010</t>
        </is>
      </c>
      <c r="B11" s="16" t="inlineStr">
        <is>
          <t>PRJ-007</t>
        </is>
      </c>
      <c r="C11" s="16" t="inlineStr">
        <is>
          <t>Serviço terceirizado</t>
        </is>
      </c>
      <c r="D11" s="17" t="inlineStr">
        <is>
          <t>Parametrização e migração de dados do sistema de RH</t>
        </is>
      </c>
      <c r="E11" s="17" t="inlineStr">
        <is>
          <t>DataBridge Soluções</t>
        </is>
      </c>
      <c r="F11" s="16" t="inlineStr">
        <is>
          <t>01.234.567/0001-89</t>
        </is>
      </c>
      <c r="G11" s="16" t="inlineStr">
        <is>
          <t>NF-e 17.045</t>
        </is>
      </c>
      <c r="H11" s="28" t="n">
        <v>46228</v>
      </c>
      <c r="I11" s="16" t="inlineStr">
        <is>
          <t>CC-102 · Tecnologia</t>
        </is>
      </c>
      <c r="J11" s="29" t="n">
        <v>12500</v>
      </c>
      <c r="K11" s="29" t="n">
        <v>1375</v>
      </c>
      <c r="L11" s="27">
        <f>J11-K11</f>
        <v/>
      </c>
      <c r="M11" s="16" t="inlineStr">
        <is>
          <t>PIX</t>
        </is>
      </c>
      <c r="N11" s="16" t="inlineStr">
        <is>
          <t>Atrasado</t>
        </is>
      </c>
      <c r="O11" s="16" t="inlineStr">
        <is>
          <t>Maria Oliveira</t>
        </is>
      </c>
      <c r="P11" s="17" t="inlineStr">
        <is>
          <t>Faturamento em análise</t>
        </is>
      </c>
      <c r="Q11" s="13">
        <f>IFERROR(VLOOKUP(B11,Projetos!$A$2:$B$9,2,FALSE),"Projeto não encontrado")</f>
        <v/>
      </c>
      <c r="R11" s="13">
        <f>IF(N11="Pago","Concluído",IF(H11&lt;TODAY(),"Atrasado","Pendente"))</f>
        <v/>
      </c>
    </row>
  </sheetData>
  <autoFilter ref="A1:R11"/>
  <conditionalFormatting sqref="N2:N11">
    <cfRule type="expression" priority="1" dxfId="2" stopIfTrue="1">
      <formula>$N2="Pago"</formula>
    </cfRule>
    <cfRule type="expression" priority="2" dxfId="1" stopIfTrue="1">
      <formula>$N2="Pendente"</formula>
    </cfRule>
    <cfRule type="expression" priority="3" dxfId="0" stopIfTrue="1">
      <formula>$N2="Atrasado"</formula>
    </cfRule>
  </conditionalFormatting>
  <conditionalFormatting sqref="R2:R11">
    <cfRule type="expression" priority="4" dxfId="3" stopIfTrue="1">
      <formula>$R2="Atrasado"</formula>
    </cfRule>
    <cfRule type="expression" priority="5" dxfId="5" stopIfTrue="1">
      <formula>$R2="Concluído"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3" customWidth="1" min="1" max="1"/>
    <col width="130" customWidth="1" min="2" max="2"/>
  </cols>
  <sheetData>
    <row r="1" ht="34" customHeight="1">
      <c r="A1" s="1" t="inlineStr">
        <is>
          <t>Instruções de Uso — Custos de Projetos</t>
        </is>
      </c>
    </row>
    <row r="2"/>
    <row r="3" ht="22" customHeight="1">
      <c r="B3" s="2" t="inlineStr">
        <is>
          <t>1. Visão geral do workbook</t>
        </is>
      </c>
      <c r="C3" s="3" t="n"/>
      <c r="D3" s="3" t="n"/>
      <c r="E3" s="3" t="n"/>
      <c r="F3" s="3" t="n"/>
      <c r="G3" s="3" t="n"/>
    </row>
    <row r="4">
      <c r="B4" s="22" t="inlineStr">
        <is>
          <t>Este arquivo acompanha orçamento, custos realizados e rentabilidade de projetos. Ele possui quatro abas:</t>
        </is>
      </c>
    </row>
    <row r="5">
      <c r="B5" s="23" t="inlineStr">
        <is>
          <t>• Dashboard: painel executivo com indicadores, gráficos de orçamento x realizado, custos por categoria e por status de pagamento.</t>
        </is>
      </c>
    </row>
    <row r="6">
      <c r="B6" s="22" t="inlineStr">
        <is>
          <t>• Projetos: cadastro dos projetos com orçamento aprovado, custo realizado (calculado), saldo, % consumido, status e margem estimada.</t>
        </is>
      </c>
    </row>
    <row r="7">
      <c r="B7" s="23" t="inlineStr">
        <is>
          <t>• Custos: lançamentos detalhados de despesas vinculados a cada projeto, com impostos, retenções e situação de pagamento.</t>
        </is>
      </c>
    </row>
    <row r="8">
      <c r="B8" s="22" t="inlineStr">
        <is>
          <t>• Instruções: este guia de preenchimento e boas práticas.</t>
        </is>
      </c>
    </row>
    <row r="9" ht="22" customHeight="1">
      <c r="B9" s="2" t="inlineStr">
        <is>
          <t>2. Preenchimento dos projetos e custos</t>
        </is>
      </c>
      <c r="C9" s="3" t="n"/>
      <c r="D9" s="3" t="n"/>
      <c r="E9" s="3" t="n"/>
      <c r="F9" s="3" t="n"/>
      <c r="G9" s="3" t="n"/>
    </row>
    <row r="10">
      <c r="B10" s="22" t="inlineStr">
        <is>
          <t>• As células com fundo amarelo-claro (#FFFBEB) são de preenchimento manual. As demais contêm fórmulas — não as altere.</t>
        </is>
      </c>
    </row>
    <row r="11">
      <c r="B11" s="23" t="inlineStr">
        <is>
          <t>• Cadastre primeiro o projeto na aba Projetos e só depois lance os custos na aba Custos.</t>
        </is>
      </c>
    </row>
    <row r="12">
      <c r="B12" s="22" t="inlineStr">
        <is>
          <t>• Valores monetários seguem o padrão brasileiro (R$ 1.234,56) e as datas o formato DD/MM/AAAA.</t>
        </is>
      </c>
    </row>
    <row r="13" ht="22" customHeight="1">
      <c r="B13" s="2" t="inlineStr">
        <is>
          <t>3. Uso de ID único para relacionar lançamentos</t>
        </is>
      </c>
      <c r="C13" s="3" t="n"/>
      <c r="D13" s="3" t="n"/>
      <c r="E13" s="3" t="n"/>
      <c r="F13" s="3" t="n"/>
      <c r="G13" s="3" t="n"/>
    </row>
    <row r="14">
      <c r="B14" s="22" t="inlineStr">
        <is>
          <t>• Cada projeto recebe um ID único (ex.: PRJ-001). Na aba Custos, informe esse ID na coluna “ID do Projeto”.</t>
        </is>
      </c>
    </row>
    <row r="15">
      <c r="B15" s="23" t="inlineStr">
        <is>
          <t>• A coluna “Projeto Vinculado (Validação)” confere automaticamente se o ID existe; se exibir “Projeto não encontrado”, revise o código.</t>
        </is>
      </c>
    </row>
    <row r="16">
      <c r="B16" s="22" t="inlineStr">
        <is>
          <t>• Nunca reutilize IDs de projetos encerrados.</t>
        </is>
      </c>
    </row>
    <row r="17" ht="22" customHeight="1">
      <c r="B17" s="2" t="inlineStr">
        <is>
          <t>4. Registro de NF-e, CNPJ e retenções</t>
        </is>
      </c>
      <c r="C17" s="3" t="n"/>
      <c r="D17" s="3" t="n"/>
      <c r="E17" s="3" t="n"/>
      <c r="F17" s="3" t="n"/>
      <c r="G17" s="3" t="n"/>
    </row>
    <row r="18">
      <c r="B18" s="22" t="inlineStr">
        <is>
          <t>• Registre sempre o número da Nota Fiscal/NF-e (ou NFS-e/RPS para pessoa física) e o CPF/CNPJ do fornecedor ou prestador.</t>
        </is>
      </c>
    </row>
    <row r="19">
      <c r="B19" s="23" t="inlineStr">
        <is>
          <t>• Informe na coluna “Impostos/Retenções” o total retido na fonte; o Valor Líquido é calculado automaticamente (Valor Bruto − Impostos).</t>
        </is>
      </c>
    </row>
    <row r="20" ht="22" customHeight="1">
      <c r="B20" s="2" t="inlineStr">
        <is>
          <t>5. Interpretação dos status orçamentários</t>
        </is>
      </c>
      <c r="C20" s="3" t="n"/>
      <c r="D20" s="3" t="n"/>
      <c r="E20" s="3" t="n"/>
      <c r="F20" s="3" t="n"/>
      <c r="G20" s="3" t="n"/>
    </row>
    <row r="21">
      <c r="B21" s="23" t="inlineStr">
        <is>
          <t>• Dentro do orçamento (verde): menos de 80% do orçamento consumido.</t>
        </is>
      </c>
    </row>
    <row r="22">
      <c r="B22" s="22" t="inlineStr">
        <is>
          <t>• Atenção (amarelo): entre 80% e 100% consumido — monitore de perto e evite novos compromissos sem aprovação.</t>
        </is>
      </c>
    </row>
    <row r="23">
      <c r="B23" s="23" t="inlineStr">
        <is>
          <t>• Estourado (vermelho): custo realizado acima do orçamento aprovado — exige plano de ação e revisão de escopo.</t>
        </is>
      </c>
    </row>
    <row r="24" ht="22" customHeight="1">
      <c r="B24" s="2" t="inlineStr">
        <is>
          <t>6. Atualização periódica dos dados</t>
        </is>
      </c>
      <c r="C24" s="3" t="n"/>
      <c r="D24" s="3" t="n"/>
      <c r="E24" s="3" t="n"/>
      <c r="F24" s="3" t="n"/>
      <c r="G24" s="3" t="n"/>
    </row>
    <row r="25">
      <c r="B25" s="23" t="inlineStr">
        <is>
          <t>• Atualize os lançamentos de custos semanalmente e revise os indicadores do Dashboard em reuniões mensais de acompanhamento.</t>
        </is>
      </c>
    </row>
    <row r="26">
      <c r="B26" s="22" t="inlineStr">
        <is>
          <t>• A coluna “Situação do Pagamento” usa a data de hoje (TODAY) para sinalizar lançamentos atrasados; mantenha os dados em dia.</t>
        </is>
      </c>
    </row>
    <row r="27" ht="22" customHeight="1">
      <c r="B27" s="2" t="inlineStr">
        <is>
          <t>7. Cuidados com dados pessoais (LGPD/ANPD)</t>
        </is>
      </c>
      <c r="C27" s="3" t="n"/>
      <c r="D27" s="3" t="n"/>
      <c r="E27" s="3" t="n"/>
      <c r="F27" s="3" t="n"/>
      <c r="G27" s="3" t="n"/>
    </row>
    <row r="28">
      <c r="B28" s="22" t="inlineStr">
        <is>
          <t>• CPFs e dados de prestadores pessoa física são dados pessoais protegidos pela LGPD (Lei nº 13.709/2018).</t>
        </is>
      </c>
    </row>
    <row r="29">
      <c r="B29" s="23" t="inlineStr">
        <is>
          <t>• Compartilhe o arquivo apenas com pessoas autorizadas, armazene em ambiente seguro e descarte cópias desnecessárias.</t>
        </is>
      </c>
    </row>
    <row r="30">
      <c r="B30" s="22" t="inlineStr">
        <is>
          <t>• Em caso de incidente de segurança, comunique o encarregado de dados (DPO) e, quando cabível, a ANPD.</t>
        </is>
      </c>
    </row>
    <row r="31" ht="22" customHeight="1">
      <c r="B31" s="2" t="inlineStr">
        <is>
          <t>8. Conferência de impostos e retenções</t>
        </is>
      </c>
      <c r="C31" s="3" t="n"/>
      <c r="D31" s="3" t="n"/>
      <c r="E31" s="3" t="n"/>
      <c r="F31" s="3" t="n"/>
      <c r="G31" s="3" t="n"/>
    </row>
    <row r="32">
      <c r="B32" s="22" t="inlineStr">
        <is>
          <t>• Confira as retenções aplicáveis antes de cada pagamento: ISS (serviços), INSS (cessão de mão de obra/pessoa física),</t>
        </is>
      </c>
    </row>
    <row r="33">
      <c r="B33" s="23" t="inlineStr">
        <is>
          <t xml:space="preserve">  IRRF (rendimentos tributáveis) e PIS/COFINS/CSLL quando exigidos pela legislação federal.</t>
        </is>
      </c>
    </row>
    <row r="34">
      <c r="B34" s="22" t="inlineStr">
        <is>
          <t>• Em caso de dúvida sobre alíquotas, consulte o departamento fiscal ou contábil antes de lançar o custo.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2026-07-29T02:46:52Z</dcterms:created>
  <dcterms:modified xmlns:dcterms="http://purl.org/dc/terms/" xmlns:xsi="http://www.w3.org/2001/XMLSchema-instance" xsi:type="dcterms:W3CDTF">2026-07-29T02:46:52Z</dcterms:modified>
</cp:coreProperties>
</file>