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PAs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Tabelas e Instruções" sheetId="3" state="visible" r:id="rId3"/>
  </sheets>
  <definedNames>
    <definedName name="_xlnm._FilterDatabase" localSheetId="0" hidden="1">'RPAs'!$A$5:$X$105</definedName>
    <definedName name="_xlnm.Print_Area" localSheetId="0">'RPAs'!$A$1:$X$21</definedName>
    <definedName name="_xlnm.Print_Area" localSheetId="1">'Dashboard'!$A$1:$R$59</definedName>
    <definedName name="_xlnm.Print_Area" localSheetId="2">'Tabelas e Instruções'!$A$1:$J$21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/MM/AAAA"/>
    <numFmt numFmtId="165" formatCode="MM/AAAA"/>
    <numFmt numFmtId="166" formatCode="&quot;R$&quot; #.##0,00"/>
    <numFmt numFmtId="167" formatCode="0,00%"/>
    <numFmt numFmtId="168" formatCode="DD/MM/YYYY"/>
    <numFmt numFmtId="169" formatCode="MM/YYYY"/>
  </numFmts>
  <fonts count="8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i val="1"/>
      <color rgb="00475569"/>
      <sz val="9"/>
    </font>
    <font>
      <name val="Aptos"/>
      <b val="1"/>
      <color rgb="00FFFFFF"/>
      <sz val="11"/>
    </font>
    <font>
      <name val="Aptos"/>
      <color rgb="001F2937"/>
      <sz val="10"/>
    </font>
    <font>
      <name val="Aptos"/>
      <b val="1"/>
      <color rgb="001F2937"/>
      <sz val="10"/>
    </font>
    <font>
      <name val="Aptos Display"/>
      <b val="1"/>
      <color rgb="000F766E"/>
      <sz val="14"/>
    </font>
    <font>
      <name val="Aptos"/>
      <b val="1"/>
      <color rgb="00FFFFFF"/>
      <sz val="10"/>
    </font>
  </fonts>
  <fills count="11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0FDFA"/>
      </patternFill>
    </fill>
    <fill>
      <patternFill patternType="solid">
        <fgColor rgb="00FFFBEB"/>
      </patternFill>
    </fill>
    <fill>
      <patternFill patternType="solid">
        <fgColor rgb="00ECFDF5"/>
      </patternFill>
    </fill>
    <fill>
      <patternFill patternType="solid">
        <fgColor rgb="00FFFFFF"/>
      </patternFill>
    </fill>
    <fill>
      <patternFill patternType="solid">
        <fgColor rgb="0014B8A6"/>
      </patternFill>
    </fill>
    <fill>
      <patternFill patternType="solid">
        <fgColor rgb="00F8FAFC"/>
      </patternFill>
    </fill>
    <fill>
      <patternFill patternType="solid">
        <fgColor rgb="00DC2626"/>
      </patternFill>
    </fill>
    <fill>
      <patternFill patternType="solid">
        <fgColor rgb="0022C55E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8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49" fontId="4" fillId="4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167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166" fontId="3" fillId="2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center" vertical="center"/>
    </xf>
    <xf numFmtId="1" fontId="3" fillId="7" borderId="1" applyAlignment="1" pivotButton="0" quotePrefix="0" xfId="0">
      <alignment horizontal="center" vertical="center"/>
    </xf>
    <xf numFmtId="0" fontId="5" fillId="8" borderId="1" applyAlignment="1" pivotButton="0" quotePrefix="0" xfId="0">
      <alignment horizontal="center" vertical="center"/>
    </xf>
    <xf numFmtId="1" fontId="5" fillId="8" borderId="1" applyAlignment="1" pivotButton="0" quotePrefix="0" xfId="0">
      <alignment horizontal="center" vertical="center"/>
    </xf>
    <xf numFmtId="166" fontId="5" fillId="8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left" vertical="center" wrapText="1"/>
    </xf>
    <xf numFmtId="166" fontId="6" fillId="5" borderId="1" applyAlignment="1" pivotButton="0" quotePrefix="0" xfId="0">
      <alignment horizontal="center" vertical="center"/>
    </xf>
    <xf numFmtId="1" fontId="6" fillId="5" borderId="1" applyAlignment="1" pivotButton="0" quotePrefix="0" xfId="0">
      <alignment horizontal="center" vertical="center"/>
    </xf>
    <xf numFmtId="167" fontId="6" fillId="5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/>
    </xf>
    <xf numFmtId="165" fontId="4" fillId="3" borderId="1" applyAlignment="1" pivotButton="0" quotePrefix="0" xfId="0">
      <alignment horizontal="center" vertical="center"/>
    </xf>
    <xf numFmtId="166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 wrapText="1"/>
    </xf>
    <xf numFmtId="166" fontId="4" fillId="3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center" vertical="center"/>
    </xf>
    <xf numFmtId="166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 wrapText="1"/>
    </xf>
    <xf numFmtId="166" fontId="4" fillId="6" borderId="1" applyAlignment="1" pivotButton="0" quotePrefix="0" xfId="0">
      <alignment horizontal="right" vertical="center"/>
    </xf>
    <xf numFmtId="167" fontId="4" fillId="4" borderId="1" applyAlignment="1" pivotButton="0" quotePrefix="0" xfId="0">
      <alignment horizontal="center" vertical="center"/>
    </xf>
    <xf numFmtId="167" fontId="4" fillId="4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center" vertical="center"/>
    </xf>
    <xf numFmtId="0" fontId="7" fillId="9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7" fillId="10" borderId="1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167" fontId="4" fillId="5" borderId="1" applyAlignment="1" pivotButton="0" quotePrefix="0" xfId="0">
      <alignment horizontal="center" vertical="center"/>
    </xf>
    <xf numFmtId="166" fontId="3" fillId="2" borderId="1" applyAlignment="1" pivotButton="0" quotePrefix="0" xfId="0">
      <alignment horizontal="center" vertical="center"/>
    </xf>
    <xf numFmtId="166" fontId="5" fillId="8" borderId="1" applyAlignment="1" pivotButton="0" quotePrefix="0" xfId="0">
      <alignment horizontal="center" vertical="center"/>
    </xf>
    <xf numFmtId="166" fontId="6" fillId="5" borderId="1" applyAlignment="1" pivotButton="0" quotePrefix="0" xfId="0">
      <alignment horizontal="center" vertical="center"/>
    </xf>
    <xf numFmtId="167" fontId="6" fillId="5" borderId="1" applyAlignment="1" pivotButton="0" quotePrefix="0" xfId="0">
      <alignment horizontal="center" vertical="center"/>
    </xf>
    <xf numFmtId="165" fontId="4" fillId="3" borderId="1" applyAlignment="1" pivotButton="0" quotePrefix="0" xfId="0">
      <alignment horizontal="center" vertical="center"/>
    </xf>
    <xf numFmtId="166" fontId="4" fillId="3" borderId="1" applyAlignment="1" pivotButton="0" quotePrefix="0" xfId="0">
      <alignment horizontal="center" vertical="center"/>
    </xf>
    <xf numFmtId="166" fontId="4" fillId="3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center" vertical="center"/>
    </xf>
    <xf numFmtId="166" fontId="4" fillId="6" borderId="1" applyAlignment="1" pivotButton="0" quotePrefix="0" xfId="0">
      <alignment horizontal="center" vertical="center"/>
    </xf>
    <xf numFmtId="166" fontId="4" fillId="6" borderId="1" applyAlignment="1" pivotButton="0" quotePrefix="0" xfId="0">
      <alignment horizontal="right" vertical="center"/>
    </xf>
    <xf numFmtId="167" fontId="4" fillId="4" borderId="1" applyAlignment="1" pivotButton="0" quotePrefix="0" xfId="0">
      <alignment horizontal="center" vertical="center"/>
    </xf>
    <xf numFmtId="167" fontId="4" fillId="4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 shrinkToFit="1"/>
    </xf>
    <xf numFmtId="168" fontId="4" fillId="4" borderId="1" applyAlignment="1" pivotButton="0" quotePrefix="0" xfId="0">
      <alignment horizontal="center" vertical="center"/>
    </xf>
    <xf numFmtId="169" fontId="4" fillId="5" borderId="1" applyAlignment="1" pivotButton="0" quotePrefix="0" xfId="0">
      <alignment horizontal="center" vertical="center"/>
    </xf>
    <xf numFmtId="10" fontId="4" fillId="5" borderId="1" applyAlignment="1" pivotButton="0" quotePrefix="0" xfId="0">
      <alignment horizontal="center" vertical="center"/>
    </xf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7" borderId="1" applyAlignment="1" pivotButton="0" quotePrefix="0" xfId="0">
      <alignment horizontal="left" vertical="center" wrapText="1"/>
    </xf>
    <xf numFmtId="166" fontId="6" fillId="5" borderId="1" applyAlignment="1" pivotButton="0" quotePrefix="0" xfId="0">
      <alignment horizontal="center" vertical="center" wrapText="1"/>
    </xf>
    <xf numFmtId="1" fontId="6" fillId="5" borderId="1" applyAlignment="1" pivotButton="0" quotePrefix="0" xfId="0">
      <alignment horizontal="center" vertical="center" wrapText="1"/>
    </xf>
    <xf numFmtId="10" fontId="6" fillId="5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left" vertical="center" wrapText="1"/>
    </xf>
    <xf numFmtId="0" fontId="3" fillId="7" borderId="1" applyAlignment="1" pivotButton="0" quotePrefix="0" xfId="0">
      <alignment horizontal="center" vertical="center" wrapText="1"/>
    </xf>
    <xf numFmtId="169" fontId="4" fillId="3" borderId="1" applyAlignment="1" pivotButton="0" quotePrefix="0" xfId="0">
      <alignment horizontal="center" vertical="center" wrapText="1"/>
    </xf>
    <xf numFmtId="166" fontId="4" fillId="3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 wrapText="1"/>
    </xf>
    <xf numFmtId="166" fontId="4" fillId="3" borderId="1" applyAlignment="1" pivotButton="0" quotePrefix="0" xfId="0">
      <alignment horizontal="right" vertical="center" wrapText="1"/>
    </xf>
    <xf numFmtId="169" fontId="4" fillId="6" borderId="1" applyAlignment="1" pivotButton="0" quotePrefix="0" xfId="0">
      <alignment horizontal="center" vertical="center" wrapText="1"/>
    </xf>
    <xf numFmtId="166" fontId="4" fillId="6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center" wrapText="1"/>
    </xf>
    <xf numFmtId="166" fontId="4" fillId="6" borderId="1" applyAlignment="1" pivotButton="0" quotePrefix="0" xfId="0">
      <alignment horizontal="right" vertical="center" wrapText="1"/>
    </xf>
    <xf numFmtId="0" fontId="0" fillId="0" borderId="0" applyAlignment="1" pivotButton="0" quotePrefix="0" xfId="0">
      <alignment horizontal="center" vertical="center" wrapText="1" shrinkToFit="1"/>
    </xf>
    <xf numFmtId="10" fontId="4" fillId="4" borderId="1" applyAlignment="1" pivotButton="0" quotePrefix="0" xfId="0">
      <alignment horizontal="center" vertical="center"/>
    </xf>
    <xf numFmtId="10" fontId="4" fillId="4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22C55E"/>
        </patternFill>
      </fill>
    </dxf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Valor Bruto por Competência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'Dashboard'!B9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solidFill>
                <a:srgbClr val="0F766E"/>
              </a:solidFill>
              <a:prstDash val="solid"/>
            </a:ln>
          </spPr>
          <cat>
            <numRef>
              <f>'Dashboard'!$A$10:$A$21</f>
            </numRef>
          </cat>
          <val>
            <numRef>
              <f>'Dashboard'!$B$10:$B$21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Competência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Bruto (R$)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Status dos RPAs</a:t>
            </a:r>
          </a:p>
        </rich>
      </tx>
    </title>
    <plotArea>
      <pieChart>
        <varyColors val="1"/>
        <ser>
          <idx val="0"/>
          <order val="0"/>
          <tx>
            <strRef>
              <f>'Dashboard'!G9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22C55E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C2626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991B1B"/>
              </a:solidFill>
              <a:ln xmlns:a="http://schemas.openxmlformats.org/drawingml/2006/main">
                <a:prstDash val="solid"/>
              </a:ln>
            </spPr>
          </dPt>
          <cat>
            <numRef>
              <f>'Dashboard'!$F$10:$F$12</f>
            </numRef>
          </cat>
          <val>
            <numRef>
              <f>'Dashboard'!$G$10:$G$12</f>
            </numRef>
          </val>
        </ser>
        <firstSliceAng val="0"/>
      </pieChart>
    </plotArea>
    <legend>
      <legendPos val="b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Valor Bruto por Categoria de Serviço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'Dashboard'!J9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solidFill>
                <a:srgbClr val="0F766E"/>
              </a:solidFill>
              <a:prstDash val="solid"/>
            </a:ln>
          </spPr>
          <cat>
            <numRef>
              <f>'Dashboard'!$I$10:$I$15</f>
            </numRef>
          </cat>
          <val>
            <numRef>
              <f>'Dashboard'!$J$10:$J$15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Bruto (R$)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Categoria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23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23</row>
      <rowOff>0</rowOff>
    </from>
    <ext cx="396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40</row>
      <rowOff>0</rowOff>
    </from>
    <ext cx="6120000" cy="324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110"/>
  <sheetViews>
    <sheetView showGridLines="0" zoomScale="55" zoomScaleNormal="55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6" customWidth="1" min="1" max="1"/>
    <col width="14.7" customWidth="1" min="2" max="2"/>
    <col width="12" customWidth="1" min="3" max="3"/>
    <col width="25" customWidth="1" min="4" max="4"/>
    <col width="16" customWidth="1" min="5" max="5"/>
    <col width="18" customWidth="1" min="6" max="6"/>
    <col width="30" customWidth="1" min="7" max="7"/>
    <col width="30" customWidth="1" min="8" max="8"/>
    <col width="16" customWidth="1" min="9" max="9"/>
    <col width="16" customWidth="1" min="10" max="10"/>
    <col width="14" customWidth="1" min="11" max="11"/>
    <col width="17" customWidth="1" min="12" max="12"/>
    <col width="16" customWidth="1" min="13" max="13"/>
    <col width="14" customWidth="1" min="14" max="14"/>
    <col width="24.06" customWidth="1" min="15" max="15"/>
    <col width="17" customWidth="1" min="16" max="16"/>
    <col width="13" customWidth="1" min="17" max="17"/>
    <col width="16" customWidth="1" min="18" max="18"/>
    <col width="20" customWidth="1" min="19" max="19"/>
    <col width="17.04" customWidth="1" min="20" max="20"/>
    <col width="16.26" customWidth="1" min="21" max="21"/>
    <col width="14" customWidth="1" min="22" max="22"/>
    <col width="28" customWidth="1" min="23" max="23"/>
    <col width="32" customWidth="1" min="24" max="24"/>
  </cols>
  <sheetData>
    <row r="1" ht="28" customHeight="1">
      <c r="A1" s="1" t="inlineStr">
        <is>
          <t>Controle de RPA — Recibo de Pagamento Autônomo</t>
        </is>
      </c>
    </row>
    <row r="2" ht="24" customHeight="1">
      <c r="A2" s="2" t="inlineStr">
        <is>
          <t>Preencha os campos amarelos. As retenções e o status são calculados automaticamente após revisar os parâmetros.</t>
        </is>
      </c>
    </row>
    <row r="3" ht="22" customHeight="1">
      <c r="A3" s="2" t="inlineStr">
        <is>
          <t>Dica: confirme as alíquotas de INSS, IRRF e ISS na aba “Tabelas e Instruções” antes de utilizar os valores para recolhimento.</t>
        </is>
      </c>
    </row>
    <row r="4"/>
    <row r="5" ht="38" customHeight="1">
      <c r="A5" s="59" t="inlineStr">
        <is>
          <t>Nº RPA</t>
        </is>
      </c>
      <c r="B5" s="59" t="inlineStr">
        <is>
          <t>Data de Emissão</t>
        </is>
      </c>
      <c r="C5" s="59" t="inlineStr">
        <is>
          <t>Competência</t>
        </is>
      </c>
      <c r="D5" s="59" t="inlineStr">
        <is>
          <t>Prestador de Serviço</t>
        </is>
      </c>
      <c r="E5" s="59" t="inlineStr">
        <is>
          <t>CPF</t>
        </is>
      </c>
      <c r="F5" s="59" t="inlineStr">
        <is>
          <t>Cidade/UF</t>
        </is>
      </c>
      <c r="G5" s="59" t="inlineStr">
        <is>
          <t>Serviço Prestado</t>
        </is>
      </c>
      <c r="H5" s="59" t="inlineStr">
        <is>
          <t>Categoria do Serviço</t>
        </is>
      </c>
      <c r="I5" s="59" t="inlineStr">
        <is>
          <t>Valor Bruto (R$)</t>
        </is>
      </c>
      <c r="J5" s="59" t="inlineStr">
        <is>
          <t>Base INSS (R$)</t>
        </is>
      </c>
      <c r="K5" s="59" t="inlineStr">
        <is>
          <t>Alíquota INSS</t>
        </is>
      </c>
      <c r="L5" s="59" t="inlineStr">
        <is>
          <t>INSS Retido (R$)</t>
        </is>
      </c>
      <c r="M5" s="59" t="inlineStr">
        <is>
          <t>Base IRRF (R$)</t>
        </is>
      </c>
      <c r="N5" s="59" t="inlineStr">
        <is>
          <t>Alíquota IRRF</t>
        </is>
      </c>
      <c r="O5" s="59" t="inlineStr">
        <is>
          <t>Parcela a Deduzir IRRF (R$)</t>
        </is>
      </c>
      <c r="P5" s="59" t="inlineStr">
        <is>
          <t>IRRF Retido (R$)</t>
        </is>
      </c>
      <c r="Q5" s="59" t="inlineStr">
        <is>
          <t>Alíquota ISS</t>
        </is>
      </c>
      <c r="R5" s="59" t="inlineStr">
        <is>
          <t>ISS Retido (R$)</t>
        </is>
      </c>
      <c r="S5" s="59" t="inlineStr">
        <is>
          <t>Outras Retenções (R$)</t>
        </is>
      </c>
      <c r="T5" s="59" t="inlineStr">
        <is>
          <t>Valor Líquido (R$)</t>
        </is>
      </c>
      <c r="U5" s="59" t="inlineStr">
        <is>
          <t>Data de Pagamento</t>
        </is>
      </c>
      <c r="V5" s="59" t="inlineStr">
        <is>
          <t>Status</t>
        </is>
      </c>
      <c r="W5" s="59" t="inlineStr">
        <is>
          <t>NF-e / Recibo Anexo</t>
        </is>
      </c>
      <c r="X5" s="59" t="inlineStr">
        <is>
          <t>Observações</t>
        </is>
      </c>
    </row>
    <row r="6">
      <c r="A6" s="4" t="inlineStr">
        <is>
          <t>RPA-2026-001</t>
        </is>
      </c>
      <c r="B6" s="60" t="n">
        <v>46037</v>
      </c>
      <c r="C6" s="61">
        <f>IF(B6="","",DATE(YEAR(B6),MONTH(B6),1))</f>
        <v/>
      </c>
      <c r="D6" s="7" t="inlineStr">
        <is>
          <t>João Silva</t>
        </is>
      </c>
      <c r="E6" s="8" t="inlineStr">
        <is>
          <t>287.451.960-30</t>
        </is>
      </c>
      <c r="F6" s="4" t="inlineStr">
        <is>
          <t>São Paulo/SP</t>
        </is>
      </c>
      <c r="G6" s="7" t="inlineStr">
        <is>
          <t>Consultoria Empresarial</t>
        </is>
      </c>
      <c r="H6" s="7" t="inlineStr">
        <is>
          <t>Consultoria Empresarial</t>
        </is>
      </c>
      <c r="I6" s="43" t="n">
        <v>4800</v>
      </c>
      <c r="J6" s="44">
        <f>IF(I6="","",I6)</f>
        <v/>
      </c>
      <c r="K6" s="62">
        <f>IF(I6="","",IFERROR(VLOOKUP('Tabelas e Instruções'!$A$6,'Tabelas e Instruções'!$A$6:$B$8,2,FALSE),0))</f>
        <v/>
      </c>
      <c r="L6" s="44">
        <f>IF(J6="","",MIN(J6*K6,'Tabelas e Instruções'!$B$10))</f>
        <v/>
      </c>
      <c r="M6" s="44">
        <f>IF(I6="","",MAX(0,I6-L6))</f>
        <v/>
      </c>
      <c r="N6" s="62">
        <f>IF(M6="","",IFERROR(VLOOKUP(M6,'Tabelas e Instruções'!$D$6:$F$10,2,TRUE),0))</f>
        <v/>
      </c>
      <c r="O6" s="44">
        <f>IF(M6="","",IFERROR(VLOOKUP(M6,'Tabelas e Instruções'!$D$6:$F$10,3,TRUE),0))</f>
        <v/>
      </c>
      <c r="P6" s="44">
        <f>IF(M6="","",MAX(0,(M6*N6)-O6))</f>
        <v/>
      </c>
      <c r="Q6" s="62">
        <f>IF(H6="","",IFERROR(VLOOKUP(H6,'Tabelas e Instruções'!$H$6:$I$11,2,FALSE),0))</f>
        <v/>
      </c>
      <c r="R6" s="44">
        <f>IF(I6="","",IF(IFERROR(VLOOKUP(H6,'Tabelas e Instruções'!$H$6:$J$11,3,FALSE),"Não")="Sim",I6*Q6,0))</f>
        <v/>
      </c>
      <c r="S6" s="43" t="n">
        <v>0</v>
      </c>
      <c r="T6" s="44">
        <f>IF(I6="","",I6-L6-P6-R6-IF(S6="",0,S6))</f>
        <v/>
      </c>
      <c r="U6" s="60" t="n">
        <v>46042</v>
      </c>
      <c r="V6" s="12">
        <f>IF(B6="","",IF(U6&lt;&gt;"","Pago",IF(B6&lt;TODAY(),"Atrasado","Pendente")))</f>
        <v/>
      </c>
      <c r="W6" s="7" t="inlineStr">
        <is>
          <t>Recibo assinado — arquivo interno</t>
        </is>
      </c>
      <c r="X6" s="7" t="inlineStr">
        <is>
          <t>Pagamento realizado conforme RPA.</t>
        </is>
      </c>
    </row>
    <row r="7">
      <c r="A7" s="4" t="inlineStr">
        <is>
          <t>RPA-2026-002</t>
        </is>
      </c>
      <c r="B7" s="60" t="n">
        <v>46050</v>
      </c>
      <c r="C7" s="61">
        <f>IF(B7="","",DATE(YEAR(B7),MONTH(B7),1))</f>
        <v/>
      </c>
      <c r="D7" s="7" t="inlineStr">
        <is>
          <t>Maria Oliveira</t>
        </is>
      </c>
      <c r="E7" s="8" t="inlineStr">
        <is>
          <t>538.729.640-72</t>
        </is>
      </c>
      <c r="F7" s="4" t="inlineStr">
        <is>
          <t>Rio de Janeiro/RJ</t>
        </is>
      </c>
      <c r="G7" s="7" t="inlineStr">
        <is>
          <t>Design Gráfico</t>
        </is>
      </c>
      <c r="H7" s="7" t="inlineStr">
        <is>
          <t>Design Gráfico</t>
        </is>
      </c>
      <c r="I7" s="43" t="n">
        <v>2350</v>
      </c>
      <c r="J7" s="44">
        <f>IF(I7="","",I7)</f>
        <v/>
      </c>
      <c r="K7" s="62">
        <f>IF(I7="","",IFERROR(VLOOKUP('Tabelas e Instruções'!$A$6,'Tabelas e Instruções'!$A$6:$B$8,2,FALSE),0))</f>
        <v/>
      </c>
      <c r="L7" s="44">
        <f>IF(J7="","",MIN(J7*K7,'Tabelas e Instruções'!$B$10))</f>
        <v/>
      </c>
      <c r="M7" s="44">
        <f>IF(I7="","",MAX(0,I7-L7))</f>
        <v/>
      </c>
      <c r="N7" s="62">
        <f>IF(M7="","",IFERROR(VLOOKUP(M7,'Tabelas e Instruções'!$D$6:$F$10,2,TRUE),0))</f>
        <v/>
      </c>
      <c r="O7" s="44">
        <f>IF(M7="","",IFERROR(VLOOKUP(M7,'Tabelas e Instruções'!$D$6:$F$10,3,TRUE),0))</f>
        <v/>
      </c>
      <c r="P7" s="44">
        <f>IF(M7="","",MAX(0,(M7*N7)-O7))</f>
        <v/>
      </c>
      <c r="Q7" s="62">
        <f>IF(H7="","",IFERROR(VLOOKUP(H7,'Tabelas e Instruções'!$H$6:$I$11,2,FALSE),0))</f>
        <v/>
      </c>
      <c r="R7" s="44">
        <f>IF(I7="","",IF(IFERROR(VLOOKUP(H7,'Tabelas e Instruções'!$H$6:$J$11,3,FALSE),"Não")="Sim",I7*Q7,0))</f>
        <v/>
      </c>
      <c r="S7" s="43" t="n">
        <v>0</v>
      </c>
      <c r="T7" s="44">
        <f>IF(I7="","",I7-L7-P7-R7-IF(S7="",0,S7))</f>
        <v/>
      </c>
      <c r="U7" s="60" t="n">
        <v>46055</v>
      </c>
      <c r="V7" s="12">
        <f>IF(B7="","",IF(U7&lt;&gt;"","Pago",IF(B7&lt;TODAY(),"Atrasado","Pendente")))</f>
        <v/>
      </c>
      <c r="W7" s="7" t="inlineStr">
        <is>
          <t>NF-e nº 2026-0018</t>
        </is>
      </c>
      <c r="X7" s="7" t="inlineStr">
        <is>
          <t>Material de identidade visual.</t>
        </is>
      </c>
    </row>
    <row r="8">
      <c r="A8" s="4" t="inlineStr">
        <is>
          <t>RPA-2026-003</t>
        </is>
      </c>
      <c r="B8" s="60" t="n">
        <v>46065</v>
      </c>
      <c r="C8" s="61">
        <f>IF(B8="","",DATE(YEAR(B8),MONTH(B8),1))</f>
        <v/>
      </c>
      <c r="D8" s="7" t="inlineStr">
        <is>
          <t>Pedro Santos</t>
        </is>
      </c>
      <c r="E8" s="8" t="inlineStr">
        <is>
          <t>641.082.570-46</t>
        </is>
      </c>
      <c r="F8" s="4" t="inlineStr">
        <is>
          <t>Belo Horizonte/MG</t>
        </is>
      </c>
      <c r="G8" s="7" t="inlineStr">
        <is>
          <t>Manutenção de Equipamentos</t>
        </is>
      </c>
      <c r="H8" s="7" t="inlineStr">
        <is>
          <t>Manutenção de Equipamentos</t>
        </is>
      </c>
      <c r="I8" s="43" t="n">
        <v>3780</v>
      </c>
      <c r="J8" s="44">
        <f>IF(I8="","",I8)</f>
        <v/>
      </c>
      <c r="K8" s="62">
        <f>IF(I8="","",IFERROR(VLOOKUP('Tabelas e Instruções'!$A$6,'Tabelas e Instruções'!$A$6:$B$8,2,FALSE),0))</f>
        <v/>
      </c>
      <c r="L8" s="44">
        <f>IF(J8="","",MIN(J8*K8,'Tabelas e Instruções'!$B$10))</f>
        <v/>
      </c>
      <c r="M8" s="44">
        <f>IF(I8="","",MAX(0,I8-L8))</f>
        <v/>
      </c>
      <c r="N8" s="62">
        <f>IF(M8="","",IFERROR(VLOOKUP(M8,'Tabelas e Instruções'!$D$6:$F$10,2,TRUE),0))</f>
        <v/>
      </c>
      <c r="O8" s="44">
        <f>IF(M8="","",IFERROR(VLOOKUP(M8,'Tabelas e Instruções'!$D$6:$F$10,3,TRUE),0))</f>
        <v/>
      </c>
      <c r="P8" s="44">
        <f>IF(M8="","",MAX(0,(M8*N8)-O8))</f>
        <v/>
      </c>
      <c r="Q8" s="62">
        <f>IF(H8="","",IFERROR(VLOOKUP(H8,'Tabelas e Instruções'!$H$6:$I$11,2,FALSE),0))</f>
        <v/>
      </c>
      <c r="R8" s="44">
        <f>IF(I8="","",IF(IFERROR(VLOOKUP(H8,'Tabelas e Instruções'!$H$6:$J$11,3,FALSE),"Não")="Sim",I8*Q8,0))</f>
        <v/>
      </c>
      <c r="S8" s="43" t="n">
        <v>0</v>
      </c>
      <c r="T8" s="44">
        <f>IF(I8="","",I8-L8-P8-R8-IF(S8="",0,S8))</f>
        <v/>
      </c>
      <c r="U8" s="60" t="n">
        <v>46070</v>
      </c>
      <c r="V8" s="12">
        <f>IF(B8="","",IF(U8&lt;&gt;"","Pago",IF(B8&lt;TODAY(),"Atrasado","Pendente")))</f>
        <v/>
      </c>
      <c r="W8" s="7" t="inlineStr">
        <is>
          <t>Recibo assinado — arquivo interno</t>
        </is>
      </c>
      <c r="X8" s="7" t="inlineStr">
        <is>
          <t>Manutenção preventiva concluída.</t>
        </is>
      </c>
    </row>
    <row r="9">
      <c r="A9" s="4" t="inlineStr">
        <is>
          <t>RPA-2026-004</t>
        </is>
      </c>
      <c r="B9" s="60" t="n">
        <v>46084</v>
      </c>
      <c r="C9" s="61">
        <f>IF(B9="","",DATE(YEAR(B9),MONTH(B9),1))</f>
        <v/>
      </c>
      <c r="D9" s="7" t="inlineStr">
        <is>
          <t>Ana Souza</t>
        </is>
      </c>
      <c r="E9" s="8" t="inlineStr">
        <is>
          <t>914.305.280-58</t>
        </is>
      </c>
      <c r="F9" s="4" t="inlineStr">
        <is>
          <t>Curitiba/PR</t>
        </is>
      </c>
      <c r="G9" s="7" t="inlineStr">
        <is>
          <t>Treinamento Corporativo</t>
        </is>
      </c>
      <c r="H9" s="7" t="inlineStr">
        <is>
          <t>Treinamento Corporativo</t>
        </is>
      </c>
      <c r="I9" s="43" t="n">
        <v>6200</v>
      </c>
      <c r="J9" s="44">
        <f>IF(I9="","",I9)</f>
        <v/>
      </c>
      <c r="K9" s="62">
        <f>IF(I9="","",IFERROR(VLOOKUP('Tabelas e Instruções'!$A$6,'Tabelas e Instruções'!$A$6:$B$8,2,FALSE),0))</f>
        <v/>
      </c>
      <c r="L9" s="44">
        <f>IF(J9="","",MIN(J9*K9,'Tabelas e Instruções'!$B$10))</f>
        <v/>
      </c>
      <c r="M9" s="44">
        <f>IF(I9="","",MAX(0,I9-L9))</f>
        <v/>
      </c>
      <c r="N9" s="62">
        <f>IF(M9="","",IFERROR(VLOOKUP(M9,'Tabelas e Instruções'!$D$6:$F$10,2,TRUE),0))</f>
        <v/>
      </c>
      <c r="O9" s="44">
        <f>IF(M9="","",IFERROR(VLOOKUP(M9,'Tabelas e Instruções'!$D$6:$F$10,3,TRUE),0))</f>
        <v/>
      </c>
      <c r="P9" s="44">
        <f>IF(M9="","",MAX(0,(M9*N9)-O9))</f>
        <v/>
      </c>
      <c r="Q9" s="62">
        <f>IF(H9="","",IFERROR(VLOOKUP(H9,'Tabelas e Instruções'!$H$6:$I$11,2,FALSE),0))</f>
        <v/>
      </c>
      <c r="R9" s="44">
        <f>IF(I9="","",IF(IFERROR(VLOOKUP(H9,'Tabelas e Instruções'!$H$6:$J$11,3,FALSE),"Não")="Sim",I9*Q9,0))</f>
        <v/>
      </c>
      <c r="S9" s="43" t="n">
        <v>0</v>
      </c>
      <c r="T9" s="44">
        <f>IF(I9="","",I9-L9-P9-R9-IF(S9="",0,S9))</f>
        <v/>
      </c>
      <c r="U9" s="60" t="n">
        <v>46089</v>
      </c>
      <c r="V9" s="12">
        <f>IF(B9="","",IF(U9&lt;&gt;"","Pago",IF(B9&lt;TODAY(),"Atrasado","Pendente")))</f>
        <v/>
      </c>
      <c r="W9" s="7" t="inlineStr">
        <is>
          <t>NF-e nº 2026-0031</t>
        </is>
      </c>
      <c r="X9" s="7" t="inlineStr">
        <is>
          <t>Treinamento para equipe comercial.</t>
        </is>
      </c>
    </row>
    <row r="10">
      <c r="A10" s="4" t="inlineStr">
        <is>
          <t>RPA-2026-005</t>
        </is>
      </c>
      <c r="B10" s="60" t="n">
        <v>46099</v>
      </c>
      <c r="C10" s="61">
        <f>IF(B10="","",DATE(YEAR(B10),MONTH(B10),1))</f>
        <v/>
      </c>
      <c r="D10" s="7" t="inlineStr">
        <is>
          <t>Carlos Pereira</t>
        </is>
      </c>
      <c r="E10" s="8" t="inlineStr">
        <is>
          <t>472.168.930-14</t>
        </is>
      </c>
      <c r="F10" s="4" t="inlineStr">
        <is>
          <t>Porto Alegre/RS</t>
        </is>
      </c>
      <c r="G10" s="7" t="inlineStr">
        <is>
          <t>Consultoria Empresarial</t>
        </is>
      </c>
      <c r="H10" s="7" t="inlineStr">
        <is>
          <t>Consultoria Empresarial</t>
        </is>
      </c>
      <c r="I10" s="43" t="n">
        <v>5500</v>
      </c>
      <c r="J10" s="44">
        <f>IF(I10="","",I10)</f>
        <v/>
      </c>
      <c r="K10" s="62">
        <f>IF(I10="","",IFERROR(VLOOKUP('Tabelas e Instruções'!$A$6,'Tabelas e Instruções'!$A$6:$B$8,2,FALSE),0))</f>
        <v/>
      </c>
      <c r="L10" s="44">
        <f>IF(J10="","",MIN(J10*K10,'Tabelas e Instruções'!$B$10))</f>
        <v/>
      </c>
      <c r="M10" s="44">
        <f>IF(I10="","",MAX(0,I10-L10))</f>
        <v/>
      </c>
      <c r="N10" s="62">
        <f>IF(M10="","",IFERROR(VLOOKUP(M10,'Tabelas e Instruções'!$D$6:$F$10,2,TRUE),0))</f>
        <v/>
      </c>
      <c r="O10" s="44">
        <f>IF(M10="","",IFERROR(VLOOKUP(M10,'Tabelas e Instruções'!$D$6:$F$10,3,TRUE),0))</f>
        <v/>
      </c>
      <c r="P10" s="44">
        <f>IF(M10="","",MAX(0,(M10*N10)-O10))</f>
        <v/>
      </c>
      <c r="Q10" s="62">
        <f>IF(H10="","",IFERROR(VLOOKUP(H10,'Tabelas e Instruções'!$H$6:$I$11,2,FALSE),0))</f>
        <v/>
      </c>
      <c r="R10" s="44">
        <f>IF(I10="","",IF(IFERROR(VLOOKUP(H10,'Tabelas e Instruções'!$H$6:$J$11,3,FALSE),"Não")="Sim",I10*Q10,0))</f>
        <v/>
      </c>
      <c r="S10" s="43" t="n">
        <v>0</v>
      </c>
      <c r="T10" s="44">
        <f>IF(I10="","",I10-L10-P10-R10-IF(S10="",0,S10))</f>
        <v/>
      </c>
      <c r="U10" s="60" t="n">
        <v>46104</v>
      </c>
      <c r="V10" s="12">
        <f>IF(B10="","",IF(U10&lt;&gt;"","Pago",IF(B10&lt;TODAY(),"Atrasado","Pendente")))</f>
        <v/>
      </c>
      <c r="W10" s="7" t="inlineStr">
        <is>
          <t>Recibo assinado — arquivo interno</t>
        </is>
      </c>
      <c r="X10" s="7" t="inlineStr">
        <is>
          <t>Diagnóstico de processos.</t>
        </is>
      </c>
    </row>
    <row r="11">
      <c r="A11" s="4" t="inlineStr">
        <is>
          <t>RPA-2026-006</t>
        </is>
      </c>
      <c r="B11" s="60" t="n">
        <v>46120</v>
      </c>
      <c r="C11" s="61">
        <f>IF(B11="","",DATE(YEAR(B11),MONTH(B11),1))</f>
        <v/>
      </c>
      <c r="D11" s="7" t="inlineStr">
        <is>
          <t>Juliana Costa</t>
        </is>
      </c>
      <c r="E11" s="8" t="inlineStr">
        <is>
          <t>356.904.810-29</t>
        </is>
      </c>
      <c r="F11" s="4" t="inlineStr">
        <is>
          <t>Salvador/BA</t>
        </is>
      </c>
      <c r="G11" s="7" t="inlineStr">
        <is>
          <t>Produção de Conteúdo</t>
        </is>
      </c>
      <c r="H11" s="7" t="inlineStr">
        <is>
          <t>Produção de Conteúdo</t>
        </is>
      </c>
      <c r="I11" s="43" t="n">
        <v>2980</v>
      </c>
      <c r="J11" s="44">
        <f>IF(I11="","",I11)</f>
        <v/>
      </c>
      <c r="K11" s="62">
        <f>IF(I11="","",IFERROR(VLOOKUP('Tabelas e Instruções'!$A$6,'Tabelas e Instruções'!$A$6:$B$8,2,FALSE),0))</f>
        <v/>
      </c>
      <c r="L11" s="44">
        <f>IF(J11="","",MIN(J11*K11,'Tabelas e Instruções'!$B$10))</f>
        <v/>
      </c>
      <c r="M11" s="44">
        <f>IF(I11="","",MAX(0,I11-L11))</f>
        <v/>
      </c>
      <c r="N11" s="62">
        <f>IF(M11="","",IFERROR(VLOOKUP(M11,'Tabelas e Instruções'!$D$6:$F$10,2,TRUE),0))</f>
        <v/>
      </c>
      <c r="O11" s="44">
        <f>IF(M11="","",IFERROR(VLOOKUP(M11,'Tabelas e Instruções'!$D$6:$F$10,3,TRUE),0))</f>
        <v/>
      </c>
      <c r="P11" s="44">
        <f>IF(M11="","",MAX(0,(M11*N11)-O11))</f>
        <v/>
      </c>
      <c r="Q11" s="62">
        <f>IF(H11="","",IFERROR(VLOOKUP(H11,'Tabelas e Instruções'!$H$6:$I$11,2,FALSE),0))</f>
        <v/>
      </c>
      <c r="R11" s="44">
        <f>IF(I11="","",IF(IFERROR(VLOOKUP(H11,'Tabelas e Instruções'!$H$6:$J$11,3,FALSE),"Não")="Sim",I11*Q11,0))</f>
        <v/>
      </c>
      <c r="S11" s="43" t="n">
        <v>0</v>
      </c>
      <c r="T11" s="44">
        <f>IF(I11="","",I11-L11-P11-R11-IF(S11="",0,S11))</f>
        <v/>
      </c>
      <c r="U11" s="60" t="n">
        <v>46125</v>
      </c>
      <c r="V11" s="12">
        <f>IF(B11="","",IF(U11&lt;&gt;"","Pago",IF(B11&lt;TODAY(),"Atrasado","Pendente")))</f>
        <v/>
      </c>
      <c r="W11" s="7" t="inlineStr">
        <is>
          <t>NF-e nº 2026-0046</t>
        </is>
      </c>
      <c r="X11" s="7" t="inlineStr">
        <is>
          <t>Conteúdo institucional mensal.</t>
        </is>
      </c>
    </row>
    <row r="12">
      <c r="A12" s="4" t="inlineStr">
        <is>
          <t>RPA-2026-007</t>
        </is>
      </c>
      <c r="B12" s="60" t="n">
        <v>46156</v>
      </c>
      <c r="C12" s="61">
        <f>IF(B12="","",DATE(YEAR(B12),MONTH(B12),1))</f>
        <v/>
      </c>
      <c r="D12" s="7" t="inlineStr">
        <is>
          <t>Rafael Almeida</t>
        </is>
      </c>
      <c r="E12" s="8" t="inlineStr">
        <is>
          <t>708.142.650-91</t>
        </is>
      </c>
      <c r="F12" s="4" t="inlineStr">
        <is>
          <t>Recife/PE</t>
        </is>
      </c>
      <c r="G12" s="7" t="inlineStr">
        <is>
          <t>Desenvolvimento de Sistemas</t>
        </is>
      </c>
      <c r="H12" s="7" t="inlineStr">
        <is>
          <t>Desenvolvimento de Sistemas</t>
        </is>
      </c>
      <c r="I12" s="43" t="n">
        <v>7450</v>
      </c>
      <c r="J12" s="44">
        <f>IF(I12="","",I12)</f>
        <v/>
      </c>
      <c r="K12" s="62">
        <f>IF(I12="","",IFERROR(VLOOKUP('Tabelas e Instruções'!$A$6,'Tabelas e Instruções'!$A$6:$B$8,2,FALSE),0))</f>
        <v/>
      </c>
      <c r="L12" s="44">
        <f>IF(J12="","",MIN(J12*K12,'Tabelas e Instruções'!$B$10))</f>
        <v/>
      </c>
      <c r="M12" s="44">
        <f>IF(I12="","",MAX(0,I12-L12))</f>
        <v/>
      </c>
      <c r="N12" s="62">
        <f>IF(M12="","",IFERROR(VLOOKUP(M12,'Tabelas e Instruções'!$D$6:$F$10,2,TRUE),0))</f>
        <v/>
      </c>
      <c r="O12" s="44">
        <f>IF(M12="","",IFERROR(VLOOKUP(M12,'Tabelas e Instruções'!$D$6:$F$10,3,TRUE),0))</f>
        <v/>
      </c>
      <c r="P12" s="44">
        <f>IF(M12="","",MAX(0,(M12*N12)-O12))</f>
        <v/>
      </c>
      <c r="Q12" s="62">
        <f>IF(H12="","",IFERROR(VLOOKUP(H12,'Tabelas e Instruções'!$H$6:$I$11,2,FALSE),0))</f>
        <v/>
      </c>
      <c r="R12" s="44">
        <f>IF(I12="","",IF(IFERROR(VLOOKUP(H12,'Tabelas e Instruções'!$H$6:$J$11,3,FALSE),"Não")="Sim",I12*Q12,0))</f>
        <v/>
      </c>
      <c r="S12" s="43" t="n">
        <v>0</v>
      </c>
      <c r="T12" s="44">
        <f>IF(I12="","",I12-L12-P12-R12-IF(S12="",0,S12))</f>
        <v/>
      </c>
      <c r="U12" s="60" t="n"/>
      <c r="V12" s="12">
        <f>IF(B12="","",IF(U12&lt;&gt;"","Pago",IF(B12&lt;TODAY(),"Atrasado","Pendente")))</f>
        <v/>
      </c>
      <c r="W12" s="7" t="inlineStr">
        <is>
          <t>Link interno — solicitação 184</t>
        </is>
      </c>
      <c r="X12" s="7" t="inlineStr">
        <is>
          <t>Aguardando programação de pagamento.</t>
        </is>
      </c>
    </row>
    <row r="13">
      <c r="A13" s="4" t="inlineStr">
        <is>
          <t>RPA-2026-008</t>
        </is>
      </c>
      <c r="B13" s="60" t="n">
        <v>46195</v>
      </c>
      <c r="C13" s="61">
        <f>IF(B13="","",DATE(YEAR(B13),MONTH(B13),1))</f>
        <v/>
      </c>
      <c r="D13" s="7" t="inlineStr">
        <is>
          <t>Camila Ferreira</t>
        </is>
      </c>
      <c r="E13" s="8" t="inlineStr">
        <is>
          <t>184.637.520-63</t>
        </is>
      </c>
      <c r="F13" s="4" t="inlineStr">
        <is>
          <t>Fortaleza/CE</t>
        </is>
      </c>
      <c r="G13" s="7" t="inlineStr">
        <is>
          <t>Design Gráfico</t>
        </is>
      </c>
      <c r="H13" s="7" t="inlineStr">
        <is>
          <t>Design Gráfico</t>
        </is>
      </c>
      <c r="I13" s="43" t="n">
        <v>3150</v>
      </c>
      <c r="J13" s="44">
        <f>IF(I13="","",I13)</f>
        <v/>
      </c>
      <c r="K13" s="62">
        <f>IF(I13="","",IFERROR(VLOOKUP('Tabelas e Instruções'!$A$6,'Tabelas e Instruções'!$A$6:$B$8,2,FALSE),0))</f>
        <v/>
      </c>
      <c r="L13" s="44">
        <f>IF(J13="","",MIN(J13*K13,'Tabelas e Instruções'!$B$10))</f>
        <v/>
      </c>
      <c r="M13" s="44">
        <f>IF(I13="","",MAX(0,I13-L13))</f>
        <v/>
      </c>
      <c r="N13" s="62">
        <f>IF(M13="","",IFERROR(VLOOKUP(M13,'Tabelas e Instruções'!$D$6:$F$10,2,TRUE),0))</f>
        <v/>
      </c>
      <c r="O13" s="44">
        <f>IF(M13="","",IFERROR(VLOOKUP(M13,'Tabelas e Instruções'!$D$6:$F$10,3,TRUE),0))</f>
        <v/>
      </c>
      <c r="P13" s="44">
        <f>IF(M13="","",MAX(0,(M13*N13)-O13))</f>
        <v/>
      </c>
      <c r="Q13" s="62">
        <f>IF(H13="","",IFERROR(VLOOKUP(H13,'Tabelas e Instruções'!$H$6:$I$11,2,FALSE),0))</f>
        <v/>
      </c>
      <c r="R13" s="44">
        <f>IF(I13="","",IF(IFERROR(VLOOKUP(H13,'Tabelas e Instruções'!$H$6:$J$11,3,FALSE),"Não")="Sim",I13*Q13,0))</f>
        <v/>
      </c>
      <c r="S13" s="43" t="n">
        <v>0</v>
      </c>
      <c r="T13" s="44">
        <f>IF(I13="","",I13-L13-P13-R13-IF(S13="",0,S13))</f>
        <v/>
      </c>
      <c r="U13" s="60" t="n">
        <v>46200</v>
      </c>
      <c r="V13" s="12">
        <f>IF(B13="","",IF(U13&lt;&gt;"","Pago",IF(B13&lt;TODAY(),"Atrasado","Pendente")))</f>
        <v/>
      </c>
      <c r="W13" s="7" t="inlineStr">
        <is>
          <t>NF-e nº 2026-0062</t>
        </is>
      </c>
      <c r="X13" s="7" t="inlineStr">
        <is>
          <t>Peças para campanha regional.</t>
        </is>
      </c>
    </row>
    <row r="14">
      <c r="A14" s="4" t="inlineStr">
        <is>
          <t>RPA-2026-009</t>
        </is>
      </c>
      <c r="B14" s="60" t="n">
        <v>46213</v>
      </c>
      <c r="C14" s="61">
        <f>IF(B14="","",DATE(YEAR(B14),MONTH(B14),1))</f>
        <v/>
      </c>
      <c r="D14" s="7" t="inlineStr">
        <is>
          <t>Lucas Rodrigues</t>
        </is>
      </c>
      <c r="E14" s="8" t="inlineStr">
        <is>
          <t>829.465.310-05</t>
        </is>
      </c>
      <c r="F14" s="4" t="inlineStr">
        <is>
          <t>Brasília/DF</t>
        </is>
      </c>
      <c r="G14" s="7" t="inlineStr">
        <is>
          <t>Treinamento Corporativo</t>
        </is>
      </c>
      <c r="H14" s="7" t="inlineStr">
        <is>
          <t>Treinamento Corporativo</t>
        </is>
      </c>
      <c r="I14" s="43" t="n">
        <v>4900</v>
      </c>
      <c r="J14" s="44">
        <f>IF(I14="","",I14)</f>
        <v/>
      </c>
      <c r="K14" s="62">
        <f>IF(I14="","",IFERROR(VLOOKUP('Tabelas e Instruções'!$A$6,'Tabelas e Instruções'!$A$6:$B$8,2,FALSE),0))</f>
        <v/>
      </c>
      <c r="L14" s="44">
        <f>IF(J14="","",MIN(J14*K14,'Tabelas e Instruções'!$B$10))</f>
        <v/>
      </c>
      <c r="M14" s="44">
        <f>IF(I14="","",MAX(0,I14-L14))</f>
        <v/>
      </c>
      <c r="N14" s="62">
        <f>IF(M14="","",IFERROR(VLOOKUP(M14,'Tabelas e Instruções'!$D$6:$F$10,2,TRUE),0))</f>
        <v/>
      </c>
      <c r="O14" s="44">
        <f>IF(M14="","",IFERROR(VLOOKUP(M14,'Tabelas e Instruções'!$D$6:$F$10,3,TRUE),0))</f>
        <v/>
      </c>
      <c r="P14" s="44">
        <f>IF(M14="","",MAX(0,(M14*N14)-O14))</f>
        <v/>
      </c>
      <c r="Q14" s="62">
        <f>IF(H14="","",IFERROR(VLOOKUP(H14,'Tabelas e Instruções'!$H$6:$I$11,2,FALSE),0))</f>
        <v/>
      </c>
      <c r="R14" s="44">
        <f>IF(I14="","",IF(IFERROR(VLOOKUP(H14,'Tabelas e Instruções'!$H$6:$J$11,3,FALSE),"Não")="Sim",I14*Q14,0))</f>
        <v/>
      </c>
      <c r="S14" s="43" t="n">
        <v>0</v>
      </c>
      <c r="T14" s="44">
        <f>IF(I14="","",I14-L14-P14-R14-IF(S14="",0,S14))</f>
        <v/>
      </c>
      <c r="U14" s="60" t="n"/>
      <c r="V14" s="12">
        <f>IF(B14="","",IF(U14&lt;&gt;"","Pago",IF(B14&lt;TODAY(),"Atrasado","Pendente")))</f>
        <v/>
      </c>
      <c r="W14" s="7" t="inlineStr">
        <is>
          <t>Recibo assinado — pendente de pagamento</t>
        </is>
      </c>
      <c r="X14" s="7" t="inlineStr">
        <is>
          <t>Aguardando aprovação financeira.</t>
        </is>
      </c>
    </row>
    <row r="15">
      <c r="A15" s="4" t="inlineStr">
        <is>
          <t>RPA-2026-010</t>
        </is>
      </c>
      <c r="B15" s="60" t="n">
        <v>46239</v>
      </c>
      <c r="C15" s="61">
        <f>IF(B15="","",DATE(YEAR(B15),MONTH(B15),1))</f>
        <v/>
      </c>
      <c r="D15" s="7" t="inlineStr">
        <is>
          <t>Fernanda Lima</t>
        </is>
      </c>
      <c r="E15" s="8" t="inlineStr">
        <is>
          <t>615.293.840-77</t>
        </is>
      </c>
      <c r="F15" s="4" t="inlineStr">
        <is>
          <t>Campinas/SP</t>
        </is>
      </c>
      <c r="G15" s="7" t="inlineStr">
        <is>
          <t>Consultoria Empresarial</t>
        </is>
      </c>
      <c r="H15" s="7" t="inlineStr">
        <is>
          <t>Consultoria Empresarial</t>
        </is>
      </c>
      <c r="I15" s="43" t="n">
        <v>8200</v>
      </c>
      <c r="J15" s="44">
        <f>IF(I15="","",I15)</f>
        <v/>
      </c>
      <c r="K15" s="62">
        <f>IF(I15="","",IFERROR(VLOOKUP('Tabelas e Instruções'!$A$6,'Tabelas e Instruções'!$A$6:$B$8,2,FALSE),0))</f>
        <v/>
      </c>
      <c r="L15" s="44">
        <f>IF(J15="","",MIN(J15*K15,'Tabelas e Instruções'!$B$10))</f>
        <v/>
      </c>
      <c r="M15" s="44">
        <f>IF(I15="","",MAX(0,I15-L15))</f>
        <v/>
      </c>
      <c r="N15" s="62">
        <f>IF(M15="","",IFERROR(VLOOKUP(M15,'Tabelas e Instruções'!$D$6:$F$10,2,TRUE),0))</f>
        <v/>
      </c>
      <c r="O15" s="44">
        <f>IF(M15="","",IFERROR(VLOOKUP(M15,'Tabelas e Instruções'!$D$6:$F$10,3,TRUE),0))</f>
        <v/>
      </c>
      <c r="P15" s="44">
        <f>IF(M15="","",MAX(0,(M15*N15)-O15))</f>
        <v/>
      </c>
      <c r="Q15" s="62">
        <f>IF(H15="","",IFERROR(VLOOKUP(H15,'Tabelas e Instruções'!$H$6:$I$11,2,FALSE),0))</f>
        <v/>
      </c>
      <c r="R15" s="44">
        <f>IF(I15="","",IF(IFERROR(VLOOKUP(H15,'Tabelas e Instruções'!$H$6:$J$11,3,FALSE),"Não")="Sim",I15*Q15,0))</f>
        <v/>
      </c>
      <c r="S15" s="43" t="n">
        <v>0</v>
      </c>
      <c r="T15" s="44">
        <f>IF(I15="","",I15-L15-P15-R15-IF(S15="",0,S15))</f>
        <v/>
      </c>
      <c r="U15" s="60" t="n"/>
      <c r="V15" s="12">
        <f>IF(B15="","",IF(U15&lt;&gt;"","Pago",IF(B15&lt;TODAY(),"Atrasado","Pendente")))</f>
        <v/>
      </c>
      <c r="W15" s="7" t="inlineStr">
        <is>
          <t>Link interno — contrato 2026-88</t>
        </is>
      </c>
      <c r="X15" s="7" t="inlineStr">
        <is>
          <t>Pagamento pendente de liberação.</t>
        </is>
      </c>
    </row>
    <row r="16">
      <c r="A16" s="4" t="n"/>
      <c r="B16" s="60" t="n"/>
      <c r="C16" s="61">
        <f>IF(B16="","",DATE(YEAR(B16),MONTH(B16),1))</f>
        <v/>
      </c>
      <c r="D16" s="7" t="n"/>
      <c r="E16" s="8" t="n"/>
      <c r="F16" s="4" t="n"/>
      <c r="G16" s="7" t="n"/>
      <c r="H16" s="7" t="n"/>
      <c r="I16" s="43" t="n"/>
      <c r="J16" s="44">
        <f>IF(I16="","",I16)</f>
        <v/>
      </c>
      <c r="K16" s="62">
        <f>IF(I16="","",IFERROR(VLOOKUP('Tabelas e Instruções'!$A$6,'Tabelas e Instruções'!$A$6:$B$8,2,FALSE),0))</f>
        <v/>
      </c>
      <c r="L16" s="44">
        <f>IF(J16="","",MIN(J16*K16,'Tabelas e Instruções'!$B$10))</f>
        <v/>
      </c>
      <c r="M16" s="44">
        <f>IF(I16="","",MAX(0,I16-L16))</f>
        <v/>
      </c>
      <c r="N16" s="62">
        <f>IF(M16="","",IFERROR(VLOOKUP(M16,'Tabelas e Instruções'!$D$6:$F$10,2,TRUE),0))</f>
        <v/>
      </c>
      <c r="O16" s="44">
        <f>IF(M16="","",IFERROR(VLOOKUP(M16,'Tabelas e Instruções'!$D$6:$F$10,3,TRUE),0))</f>
        <v/>
      </c>
      <c r="P16" s="44">
        <f>IF(M16="","",MAX(0,(M16*N16)-O16))</f>
        <v/>
      </c>
      <c r="Q16" s="62">
        <f>IF(H16="","",IFERROR(VLOOKUP(H16,'Tabelas e Instruções'!$H$6:$I$11,2,FALSE),0))</f>
        <v/>
      </c>
      <c r="R16" s="44">
        <f>IF(I16="","",IF(IFERROR(VLOOKUP(H16,'Tabelas e Instruções'!$H$6:$J$11,3,FALSE),"Não")="Sim",I16*Q16,0))</f>
        <v/>
      </c>
      <c r="S16" s="43" t="n"/>
      <c r="T16" s="44">
        <f>IF(I16="","",I16-L16-P16-R16-IF(S16="",0,S16))</f>
        <v/>
      </c>
      <c r="U16" s="60" t="n"/>
      <c r="V16" s="12">
        <f>IF(B16="","",IF(U16&lt;&gt;"","Pago",IF(B16&lt;TODAY(),"Atrasado","Pendente")))</f>
        <v/>
      </c>
      <c r="W16" s="7" t="n"/>
      <c r="X16" s="7" t="n"/>
    </row>
    <row r="17">
      <c r="A17" s="4" t="n"/>
      <c r="B17" s="60" t="n"/>
      <c r="C17" s="61">
        <f>IF(B17="","",DATE(YEAR(B17),MONTH(B17),1))</f>
        <v/>
      </c>
      <c r="D17" s="7" t="n"/>
      <c r="E17" s="8" t="n"/>
      <c r="F17" s="4" t="n"/>
      <c r="G17" s="7" t="n"/>
      <c r="H17" s="7" t="n"/>
      <c r="I17" s="43" t="n"/>
      <c r="J17" s="44">
        <f>IF(I17="","",I17)</f>
        <v/>
      </c>
      <c r="K17" s="62">
        <f>IF(I17="","",IFERROR(VLOOKUP('Tabelas e Instruções'!$A$6,'Tabelas e Instruções'!$A$6:$B$8,2,FALSE),0))</f>
        <v/>
      </c>
      <c r="L17" s="44">
        <f>IF(J17="","",MIN(J17*K17,'Tabelas e Instruções'!$B$10))</f>
        <v/>
      </c>
      <c r="M17" s="44">
        <f>IF(I17="","",MAX(0,I17-L17))</f>
        <v/>
      </c>
      <c r="N17" s="62">
        <f>IF(M17="","",IFERROR(VLOOKUP(M17,'Tabelas e Instruções'!$D$6:$F$10,2,TRUE),0))</f>
        <v/>
      </c>
      <c r="O17" s="44">
        <f>IF(M17="","",IFERROR(VLOOKUP(M17,'Tabelas e Instruções'!$D$6:$F$10,3,TRUE),0))</f>
        <v/>
      </c>
      <c r="P17" s="44">
        <f>IF(M17="","",MAX(0,(M17*N17)-O17))</f>
        <v/>
      </c>
      <c r="Q17" s="62">
        <f>IF(H17="","",IFERROR(VLOOKUP(H17,'Tabelas e Instruções'!$H$6:$I$11,2,FALSE),0))</f>
        <v/>
      </c>
      <c r="R17" s="44">
        <f>IF(I17="","",IF(IFERROR(VLOOKUP(H17,'Tabelas e Instruções'!$H$6:$J$11,3,FALSE),"Não")="Sim",I17*Q17,0))</f>
        <v/>
      </c>
      <c r="S17" s="43" t="n"/>
      <c r="T17" s="44">
        <f>IF(I17="","",I17-L17-P17-R17-IF(S17="",0,S17))</f>
        <v/>
      </c>
      <c r="U17" s="60" t="n"/>
      <c r="V17" s="12">
        <f>IF(B17="","",IF(U17&lt;&gt;"","Pago",IF(B17&lt;TODAY(),"Atrasado","Pendente")))</f>
        <v/>
      </c>
      <c r="W17" s="7" t="n"/>
      <c r="X17" s="7" t="n"/>
    </row>
    <row r="18">
      <c r="A18" s="4" t="n"/>
      <c r="B18" s="60" t="n"/>
      <c r="C18" s="61">
        <f>IF(B18="","",DATE(YEAR(B18),MONTH(B18),1))</f>
        <v/>
      </c>
      <c r="D18" s="7" t="n"/>
      <c r="E18" s="8" t="n"/>
      <c r="F18" s="4" t="n"/>
      <c r="G18" s="7" t="n"/>
      <c r="H18" s="7" t="n"/>
      <c r="I18" s="43" t="n"/>
      <c r="J18" s="44">
        <f>IF(I18="","",I18)</f>
        <v/>
      </c>
      <c r="K18" s="62">
        <f>IF(I18="","",IFERROR(VLOOKUP('Tabelas e Instruções'!$A$6,'Tabelas e Instruções'!$A$6:$B$8,2,FALSE),0))</f>
        <v/>
      </c>
      <c r="L18" s="44">
        <f>IF(J18="","",MIN(J18*K18,'Tabelas e Instruções'!$B$10))</f>
        <v/>
      </c>
      <c r="M18" s="44">
        <f>IF(I18="","",MAX(0,I18-L18))</f>
        <v/>
      </c>
      <c r="N18" s="62">
        <f>IF(M18="","",IFERROR(VLOOKUP(M18,'Tabelas e Instruções'!$D$6:$F$10,2,TRUE),0))</f>
        <v/>
      </c>
      <c r="O18" s="44">
        <f>IF(M18="","",IFERROR(VLOOKUP(M18,'Tabelas e Instruções'!$D$6:$F$10,3,TRUE),0))</f>
        <v/>
      </c>
      <c r="P18" s="44">
        <f>IF(M18="","",MAX(0,(M18*N18)-O18))</f>
        <v/>
      </c>
      <c r="Q18" s="62">
        <f>IF(H18="","",IFERROR(VLOOKUP(H18,'Tabelas e Instruções'!$H$6:$I$11,2,FALSE),0))</f>
        <v/>
      </c>
      <c r="R18" s="44">
        <f>IF(I18="","",IF(IFERROR(VLOOKUP(H18,'Tabelas e Instruções'!$H$6:$J$11,3,FALSE),"Não")="Sim",I18*Q18,0))</f>
        <v/>
      </c>
      <c r="S18" s="43" t="n"/>
      <c r="T18" s="44">
        <f>IF(I18="","",I18-L18-P18-R18-IF(S18="",0,S18))</f>
        <v/>
      </c>
      <c r="U18" s="60" t="n"/>
      <c r="V18" s="12">
        <f>IF(B18="","",IF(U18&lt;&gt;"","Pago",IF(B18&lt;TODAY(),"Atrasado","Pendente")))</f>
        <v/>
      </c>
      <c r="W18" s="7" t="n"/>
      <c r="X18" s="7" t="n"/>
    </row>
    <row r="19">
      <c r="A19" s="4" t="n"/>
      <c r="B19" s="60" t="n"/>
      <c r="C19" s="61">
        <f>IF(B19="","",DATE(YEAR(B19),MONTH(B19),1))</f>
        <v/>
      </c>
      <c r="D19" s="7" t="n"/>
      <c r="E19" s="8" t="n"/>
      <c r="F19" s="4" t="n"/>
      <c r="G19" s="7" t="n"/>
      <c r="H19" s="7" t="n"/>
      <c r="I19" s="43" t="n"/>
      <c r="J19" s="44">
        <f>IF(I19="","",I19)</f>
        <v/>
      </c>
      <c r="K19" s="62">
        <f>IF(I19="","",IFERROR(VLOOKUP('Tabelas e Instruções'!$A$6,'Tabelas e Instruções'!$A$6:$B$8,2,FALSE),0))</f>
        <v/>
      </c>
      <c r="L19" s="44">
        <f>IF(J19="","",MIN(J19*K19,'Tabelas e Instruções'!$B$10))</f>
        <v/>
      </c>
      <c r="M19" s="44">
        <f>IF(I19="","",MAX(0,I19-L19))</f>
        <v/>
      </c>
      <c r="N19" s="62">
        <f>IF(M19="","",IFERROR(VLOOKUP(M19,'Tabelas e Instruções'!$D$6:$F$10,2,TRUE),0))</f>
        <v/>
      </c>
      <c r="O19" s="44">
        <f>IF(M19="","",IFERROR(VLOOKUP(M19,'Tabelas e Instruções'!$D$6:$F$10,3,TRUE),0))</f>
        <v/>
      </c>
      <c r="P19" s="44">
        <f>IF(M19="","",MAX(0,(M19*N19)-O19))</f>
        <v/>
      </c>
      <c r="Q19" s="62">
        <f>IF(H19="","",IFERROR(VLOOKUP(H19,'Tabelas e Instruções'!$H$6:$I$11,2,FALSE),0))</f>
        <v/>
      </c>
      <c r="R19" s="44">
        <f>IF(I19="","",IF(IFERROR(VLOOKUP(H19,'Tabelas e Instruções'!$H$6:$J$11,3,FALSE),"Não")="Sim",I19*Q19,0))</f>
        <v/>
      </c>
      <c r="S19" s="43" t="n"/>
      <c r="T19" s="44">
        <f>IF(I19="","",I19-L19-P19-R19-IF(S19="",0,S19))</f>
        <v/>
      </c>
      <c r="U19" s="60" t="n"/>
      <c r="V19" s="12">
        <f>IF(B19="","",IF(U19&lt;&gt;"","Pago",IF(B19&lt;TODAY(),"Atrasado","Pendente")))</f>
        <v/>
      </c>
      <c r="W19" s="7" t="n"/>
      <c r="X19" s="7" t="n"/>
    </row>
    <row r="20">
      <c r="A20" s="4" t="n"/>
      <c r="B20" s="60" t="n"/>
      <c r="C20" s="61">
        <f>IF(B20="","",DATE(YEAR(B20),MONTH(B20),1))</f>
        <v/>
      </c>
      <c r="D20" s="7" t="n"/>
      <c r="E20" s="8" t="n"/>
      <c r="F20" s="4" t="n"/>
      <c r="G20" s="7" t="n"/>
      <c r="H20" s="7" t="n"/>
      <c r="I20" s="43" t="n"/>
      <c r="J20" s="44">
        <f>IF(I20="","",I20)</f>
        <v/>
      </c>
      <c r="K20" s="62">
        <f>IF(I20="","",IFERROR(VLOOKUP('Tabelas e Instruções'!$A$6,'Tabelas e Instruções'!$A$6:$B$8,2,FALSE),0))</f>
        <v/>
      </c>
      <c r="L20" s="44">
        <f>IF(J20="","",MIN(J20*K20,'Tabelas e Instruções'!$B$10))</f>
        <v/>
      </c>
      <c r="M20" s="44">
        <f>IF(I20="","",MAX(0,I20-L20))</f>
        <v/>
      </c>
      <c r="N20" s="62">
        <f>IF(M20="","",IFERROR(VLOOKUP(M20,'Tabelas e Instruções'!$D$6:$F$10,2,TRUE),0))</f>
        <v/>
      </c>
      <c r="O20" s="44">
        <f>IF(M20="","",IFERROR(VLOOKUP(M20,'Tabelas e Instruções'!$D$6:$F$10,3,TRUE),0))</f>
        <v/>
      </c>
      <c r="P20" s="44">
        <f>IF(M20="","",MAX(0,(M20*N20)-O20))</f>
        <v/>
      </c>
      <c r="Q20" s="62">
        <f>IF(H20="","",IFERROR(VLOOKUP(H20,'Tabelas e Instruções'!$H$6:$I$11,2,FALSE),0))</f>
        <v/>
      </c>
      <c r="R20" s="44">
        <f>IF(I20="","",IF(IFERROR(VLOOKUP(H20,'Tabelas e Instruções'!$H$6:$J$11,3,FALSE),"Não")="Sim",I20*Q20,0))</f>
        <v/>
      </c>
      <c r="S20" s="43" t="n"/>
      <c r="T20" s="44">
        <f>IF(I20="","",I20-L20-P20-R20-IF(S20="",0,S20))</f>
        <v/>
      </c>
      <c r="U20" s="60" t="n"/>
      <c r="V20" s="12">
        <f>IF(B20="","",IF(U20&lt;&gt;"","Pago",IF(B20&lt;TODAY(),"Atrasado","Pendente")))</f>
        <v/>
      </c>
      <c r="W20" s="7" t="n"/>
      <c r="X20" s="7" t="n"/>
    </row>
    <row r="21">
      <c r="A21" s="4" t="n"/>
      <c r="B21" s="60" t="n"/>
      <c r="C21" s="61">
        <f>IF(B21="","",DATE(YEAR(B21),MONTH(B21),1))</f>
        <v/>
      </c>
      <c r="D21" s="7" t="n"/>
      <c r="E21" s="8" t="n"/>
      <c r="F21" s="4" t="n"/>
      <c r="G21" s="7" t="n"/>
      <c r="H21" s="7" t="n"/>
      <c r="I21" s="43" t="n"/>
      <c r="J21" s="44">
        <f>IF(I21="","",I21)</f>
        <v/>
      </c>
      <c r="K21" s="62">
        <f>IF(I21="","",IFERROR(VLOOKUP('Tabelas e Instruções'!$A$6,'Tabelas e Instruções'!$A$6:$B$8,2,FALSE),0))</f>
        <v/>
      </c>
      <c r="L21" s="44">
        <f>IF(J21="","",MIN(J21*K21,'Tabelas e Instruções'!$B$10))</f>
        <v/>
      </c>
      <c r="M21" s="44">
        <f>IF(I21="","",MAX(0,I21-L21))</f>
        <v/>
      </c>
      <c r="N21" s="62">
        <f>IF(M21="","",IFERROR(VLOOKUP(M21,'Tabelas e Instruções'!$D$6:$F$10,2,TRUE),0))</f>
        <v/>
      </c>
      <c r="O21" s="44">
        <f>IF(M21="","",IFERROR(VLOOKUP(M21,'Tabelas e Instruções'!$D$6:$F$10,3,TRUE),0))</f>
        <v/>
      </c>
      <c r="P21" s="44">
        <f>IF(M21="","",MAX(0,(M21*N21)-O21))</f>
        <v/>
      </c>
      <c r="Q21" s="62">
        <f>IF(H21="","",IFERROR(VLOOKUP(H21,'Tabelas e Instruções'!$H$6:$I$11,2,FALSE),0))</f>
        <v/>
      </c>
      <c r="R21" s="44">
        <f>IF(I21="","",IF(IFERROR(VLOOKUP(H21,'Tabelas e Instruções'!$H$6:$J$11,3,FALSE),"Não")="Sim",I21*Q21,0))</f>
        <v/>
      </c>
      <c r="S21" s="43" t="n"/>
      <c r="T21" s="44">
        <f>IF(I21="","",I21-L21-P21-R21-IF(S21="",0,S21))</f>
        <v/>
      </c>
      <c r="U21" s="60" t="n"/>
      <c r="V21" s="12">
        <f>IF(B21="","",IF(U21&lt;&gt;"","Pago",IF(B21&lt;TODAY(),"Atrasado","Pendente")))</f>
        <v/>
      </c>
      <c r="W21" s="7" t="n"/>
      <c r="X21" s="7" t="n"/>
    </row>
    <row r="22">
      <c r="A22" s="4" t="n"/>
      <c r="B22" s="60" t="n"/>
      <c r="C22" s="61">
        <f>IF(B22="","",DATE(YEAR(B22),MONTH(B22),1))</f>
        <v/>
      </c>
      <c r="D22" s="7" t="n"/>
      <c r="E22" s="8" t="n"/>
      <c r="F22" s="4" t="n"/>
      <c r="G22" s="7" t="n"/>
      <c r="H22" s="7" t="n"/>
      <c r="I22" s="43" t="n"/>
      <c r="J22" s="44">
        <f>IF(I22="","",I22)</f>
        <v/>
      </c>
      <c r="K22" s="62">
        <f>IF(I22="","",IFERROR(VLOOKUP('Tabelas e Instruções'!$A$6,'Tabelas e Instruções'!$A$6:$B$8,2,FALSE),0))</f>
        <v/>
      </c>
      <c r="L22" s="44">
        <f>IF(J22="","",MIN(J22*K22,'Tabelas e Instruções'!$B$10))</f>
        <v/>
      </c>
      <c r="M22" s="44">
        <f>IF(I22="","",MAX(0,I22-L22))</f>
        <v/>
      </c>
      <c r="N22" s="62">
        <f>IF(M22="","",IFERROR(VLOOKUP(M22,'Tabelas e Instruções'!$D$6:$F$10,2,TRUE),0))</f>
        <v/>
      </c>
      <c r="O22" s="44">
        <f>IF(M22="","",IFERROR(VLOOKUP(M22,'Tabelas e Instruções'!$D$6:$F$10,3,TRUE),0))</f>
        <v/>
      </c>
      <c r="P22" s="44">
        <f>IF(M22="","",MAX(0,(M22*N22)-O22))</f>
        <v/>
      </c>
      <c r="Q22" s="62">
        <f>IF(H22="","",IFERROR(VLOOKUP(H22,'Tabelas e Instruções'!$H$6:$I$11,2,FALSE),0))</f>
        <v/>
      </c>
      <c r="R22" s="44">
        <f>IF(I22="","",IF(IFERROR(VLOOKUP(H22,'Tabelas e Instruções'!$H$6:$J$11,3,FALSE),"Não")="Sim",I22*Q22,0))</f>
        <v/>
      </c>
      <c r="S22" s="43" t="n"/>
      <c r="T22" s="44">
        <f>IF(I22="","",I22-L22-P22-R22-IF(S22="",0,S22))</f>
        <v/>
      </c>
      <c r="U22" s="60" t="n"/>
      <c r="V22" s="12">
        <f>IF(B22="","",IF(U22&lt;&gt;"","Pago",IF(B22&lt;TODAY(),"Atrasado","Pendente")))</f>
        <v/>
      </c>
      <c r="W22" s="7" t="n"/>
      <c r="X22" s="7" t="n"/>
    </row>
    <row r="23">
      <c r="A23" s="4" t="n"/>
      <c r="B23" s="60" t="n"/>
      <c r="C23" s="61">
        <f>IF(B23="","",DATE(YEAR(B23),MONTH(B23),1))</f>
        <v/>
      </c>
      <c r="D23" s="7" t="n"/>
      <c r="E23" s="8" t="n"/>
      <c r="F23" s="4" t="n"/>
      <c r="G23" s="7" t="n"/>
      <c r="H23" s="7" t="n"/>
      <c r="I23" s="43" t="n"/>
      <c r="J23" s="44">
        <f>IF(I23="","",I23)</f>
        <v/>
      </c>
      <c r="K23" s="62">
        <f>IF(I23="","",IFERROR(VLOOKUP('Tabelas e Instruções'!$A$6,'Tabelas e Instruções'!$A$6:$B$8,2,FALSE),0))</f>
        <v/>
      </c>
      <c r="L23" s="44">
        <f>IF(J23="","",MIN(J23*K23,'Tabelas e Instruções'!$B$10))</f>
        <v/>
      </c>
      <c r="M23" s="44">
        <f>IF(I23="","",MAX(0,I23-L23))</f>
        <v/>
      </c>
      <c r="N23" s="62">
        <f>IF(M23="","",IFERROR(VLOOKUP(M23,'Tabelas e Instruções'!$D$6:$F$10,2,TRUE),0))</f>
        <v/>
      </c>
      <c r="O23" s="44">
        <f>IF(M23="","",IFERROR(VLOOKUP(M23,'Tabelas e Instruções'!$D$6:$F$10,3,TRUE),0))</f>
        <v/>
      </c>
      <c r="P23" s="44">
        <f>IF(M23="","",MAX(0,(M23*N23)-O23))</f>
        <v/>
      </c>
      <c r="Q23" s="62">
        <f>IF(H23="","",IFERROR(VLOOKUP(H23,'Tabelas e Instruções'!$H$6:$I$11,2,FALSE),0))</f>
        <v/>
      </c>
      <c r="R23" s="44">
        <f>IF(I23="","",IF(IFERROR(VLOOKUP(H23,'Tabelas e Instruções'!$H$6:$J$11,3,FALSE),"Não")="Sim",I23*Q23,0))</f>
        <v/>
      </c>
      <c r="S23" s="43" t="n"/>
      <c r="T23" s="44">
        <f>IF(I23="","",I23-L23-P23-R23-IF(S23="",0,S23))</f>
        <v/>
      </c>
      <c r="U23" s="60" t="n"/>
      <c r="V23" s="12">
        <f>IF(B23="","",IF(U23&lt;&gt;"","Pago",IF(B23&lt;TODAY(),"Atrasado","Pendente")))</f>
        <v/>
      </c>
      <c r="W23" s="7" t="n"/>
      <c r="X23" s="7" t="n"/>
    </row>
    <row r="24">
      <c r="A24" s="4" t="n"/>
      <c r="B24" s="60" t="n"/>
      <c r="C24" s="61">
        <f>IF(B24="","",DATE(YEAR(B24),MONTH(B24),1))</f>
        <v/>
      </c>
      <c r="D24" s="7" t="n"/>
      <c r="E24" s="8" t="n"/>
      <c r="F24" s="4" t="n"/>
      <c r="G24" s="7" t="n"/>
      <c r="H24" s="7" t="n"/>
      <c r="I24" s="43" t="n"/>
      <c r="J24" s="44">
        <f>IF(I24="","",I24)</f>
        <v/>
      </c>
      <c r="K24" s="62">
        <f>IF(I24="","",IFERROR(VLOOKUP('Tabelas e Instruções'!$A$6,'Tabelas e Instruções'!$A$6:$B$8,2,FALSE),0))</f>
        <v/>
      </c>
      <c r="L24" s="44">
        <f>IF(J24="","",MIN(J24*K24,'Tabelas e Instruções'!$B$10))</f>
        <v/>
      </c>
      <c r="M24" s="44">
        <f>IF(I24="","",MAX(0,I24-L24))</f>
        <v/>
      </c>
      <c r="N24" s="62">
        <f>IF(M24="","",IFERROR(VLOOKUP(M24,'Tabelas e Instruções'!$D$6:$F$10,2,TRUE),0))</f>
        <v/>
      </c>
      <c r="O24" s="44">
        <f>IF(M24="","",IFERROR(VLOOKUP(M24,'Tabelas e Instruções'!$D$6:$F$10,3,TRUE),0))</f>
        <v/>
      </c>
      <c r="P24" s="44">
        <f>IF(M24="","",MAX(0,(M24*N24)-O24))</f>
        <v/>
      </c>
      <c r="Q24" s="62">
        <f>IF(H24="","",IFERROR(VLOOKUP(H24,'Tabelas e Instruções'!$H$6:$I$11,2,FALSE),0))</f>
        <v/>
      </c>
      <c r="R24" s="44">
        <f>IF(I24="","",IF(IFERROR(VLOOKUP(H24,'Tabelas e Instruções'!$H$6:$J$11,3,FALSE),"Não")="Sim",I24*Q24,0))</f>
        <v/>
      </c>
      <c r="S24" s="43" t="n"/>
      <c r="T24" s="44">
        <f>IF(I24="","",I24-L24-P24-R24-IF(S24="",0,S24))</f>
        <v/>
      </c>
      <c r="U24" s="60" t="n"/>
      <c r="V24" s="12">
        <f>IF(B24="","",IF(U24&lt;&gt;"","Pago",IF(B24&lt;TODAY(),"Atrasado","Pendente")))</f>
        <v/>
      </c>
      <c r="W24" s="7" t="n"/>
      <c r="X24" s="7" t="n"/>
    </row>
    <row r="25">
      <c r="A25" s="4" t="n"/>
      <c r="B25" s="60" t="n"/>
      <c r="C25" s="61">
        <f>IF(B25="","",DATE(YEAR(B25),MONTH(B25),1))</f>
        <v/>
      </c>
      <c r="D25" s="7" t="n"/>
      <c r="E25" s="8" t="n"/>
      <c r="F25" s="4" t="n"/>
      <c r="G25" s="7" t="n"/>
      <c r="H25" s="7" t="n"/>
      <c r="I25" s="43" t="n"/>
      <c r="J25" s="44">
        <f>IF(I25="","",I25)</f>
        <v/>
      </c>
      <c r="K25" s="62">
        <f>IF(I25="","",IFERROR(VLOOKUP('Tabelas e Instruções'!$A$6,'Tabelas e Instruções'!$A$6:$B$8,2,FALSE),0))</f>
        <v/>
      </c>
      <c r="L25" s="44">
        <f>IF(J25="","",MIN(J25*K25,'Tabelas e Instruções'!$B$10))</f>
        <v/>
      </c>
      <c r="M25" s="44">
        <f>IF(I25="","",MAX(0,I25-L25))</f>
        <v/>
      </c>
      <c r="N25" s="62">
        <f>IF(M25="","",IFERROR(VLOOKUP(M25,'Tabelas e Instruções'!$D$6:$F$10,2,TRUE),0))</f>
        <v/>
      </c>
      <c r="O25" s="44">
        <f>IF(M25="","",IFERROR(VLOOKUP(M25,'Tabelas e Instruções'!$D$6:$F$10,3,TRUE),0))</f>
        <v/>
      </c>
      <c r="P25" s="44">
        <f>IF(M25="","",MAX(0,(M25*N25)-O25))</f>
        <v/>
      </c>
      <c r="Q25" s="62">
        <f>IF(H25="","",IFERROR(VLOOKUP(H25,'Tabelas e Instruções'!$H$6:$I$11,2,FALSE),0))</f>
        <v/>
      </c>
      <c r="R25" s="44">
        <f>IF(I25="","",IF(IFERROR(VLOOKUP(H25,'Tabelas e Instruções'!$H$6:$J$11,3,FALSE),"Não")="Sim",I25*Q25,0))</f>
        <v/>
      </c>
      <c r="S25" s="43" t="n"/>
      <c r="T25" s="44">
        <f>IF(I25="","",I25-L25-P25-R25-IF(S25="",0,S25))</f>
        <v/>
      </c>
      <c r="U25" s="60" t="n"/>
      <c r="V25" s="12">
        <f>IF(B25="","",IF(U25&lt;&gt;"","Pago",IF(B25&lt;TODAY(),"Atrasado","Pendente")))</f>
        <v/>
      </c>
      <c r="W25" s="7" t="n"/>
      <c r="X25" s="7" t="n"/>
    </row>
    <row r="26">
      <c r="A26" s="4" t="n"/>
      <c r="B26" s="60" t="n"/>
      <c r="C26" s="61">
        <f>IF(B26="","",DATE(YEAR(B26),MONTH(B26),1))</f>
        <v/>
      </c>
      <c r="D26" s="7" t="n"/>
      <c r="E26" s="8" t="n"/>
      <c r="F26" s="4" t="n"/>
      <c r="G26" s="7" t="n"/>
      <c r="H26" s="7" t="n"/>
      <c r="I26" s="43" t="n"/>
      <c r="J26" s="44">
        <f>IF(I26="","",I26)</f>
        <v/>
      </c>
      <c r="K26" s="62">
        <f>IF(I26="","",IFERROR(VLOOKUP('Tabelas e Instruções'!$A$6,'Tabelas e Instruções'!$A$6:$B$8,2,FALSE),0))</f>
        <v/>
      </c>
      <c r="L26" s="44">
        <f>IF(J26="","",MIN(J26*K26,'Tabelas e Instruções'!$B$10))</f>
        <v/>
      </c>
      <c r="M26" s="44">
        <f>IF(I26="","",MAX(0,I26-L26))</f>
        <v/>
      </c>
      <c r="N26" s="62">
        <f>IF(M26="","",IFERROR(VLOOKUP(M26,'Tabelas e Instruções'!$D$6:$F$10,2,TRUE),0))</f>
        <v/>
      </c>
      <c r="O26" s="44">
        <f>IF(M26="","",IFERROR(VLOOKUP(M26,'Tabelas e Instruções'!$D$6:$F$10,3,TRUE),0))</f>
        <v/>
      </c>
      <c r="P26" s="44">
        <f>IF(M26="","",MAX(0,(M26*N26)-O26))</f>
        <v/>
      </c>
      <c r="Q26" s="62">
        <f>IF(H26="","",IFERROR(VLOOKUP(H26,'Tabelas e Instruções'!$H$6:$I$11,2,FALSE),0))</f>
        <v/>
      </c>
      <c r="R26" s="44">
        <f>IF(I26="","",IF(IFERROR(VLOOKUP(H26,'Tabelas e Instruções'!$H$6:$J$11,3,FALSE),"Não")="Sim",I26*Q26,0))</f>
        <v/>
      </c>
      <c r="S26" s="43" t="n"/>
      <c r="T26" s="44">
        <f>IF(I26="","",I26-L26-P26-R26-IF(S26="",0,S26))</f>
        <v/>
      </c>
      <c r="U26" s="60" t="n"/>
      <c r="V26" s="12">
        <f>IF(B26="","",IF(U26&lt;&gt;"","Pago",IF(B26&lt;TODAY(),"Atrasado","Pendente")))</f>
        <v/>
      </c>
      <c r="W26" s="7" t="n"/>
      <c r="X26" s="7" t="n"/>
    </row>
    <row r="27">
      <c r="A27" s="4" t="n"/>
      <c r="B27" s="60" t="n"/>
      <c r="C27" s="61">
        <f>IF(B27="","",DATE(YEAR(B27),MONTH(B27),1))</f>
        <v/>
      </c>
      <c r="D27" s="7" t="n"/>
      <c r="E27" s="8" t="n"/>
      <c r="F27" s="4" t="n"/>
      <c r="G27" s="7" t="n"/>
      <c r="H27" s="7" t="n"/>
      <c r="I27" s="43" t="n"/>
      <c r="J27" s="44">
        <f>IF(I27="","",I27)</f>
        <v/>
      </c>
      <c r="K27" s="62">
        <f>IF(I27="","",IFERROR(VLOOKUP('Tabelas e Instruções'!$A$6,'Tabelas e Instruções'!$A$6:$B$8,2,FALSE),0))</f>
        <v/>
      </c>
      <c r="L27" s="44">
        <f>IF(J27="","",MIN(J27*K27,'Tabelas e Instruções'!$B$10))</f>
        <v/>
      </c>
      <c r="M27" s="44">
        <f>IF(I27="","",MAX(0,I27-L27))</f>
        <v/>
      </c>
      <c r="N27" s="62">
        <f>IF(M27="","",IFERROR(VLOOKUP(M27,'Tabelas e Instruções'!$D$6:$F$10,2,TRUE),0))</f>
        <v/>
      </c>
      <c r="O27" s="44">
        <f>IF(M27="","",IFERROR(VLOOKUP(M27,'Tabelas e Instruções'!$D$6:$F$10,3,TRUE),0))</f>
        <v/>
      </c>
      <c r="P27" s="44">
        <f>IF(M27="","",MAX(0,(M27*N27)-O27))</f>
        <v/>
      </c>
      <c r="Q27" s="62">
        <f>IF(H27="","",IFERROR(VLOOKUP(H27,'Tabelas e Instruções'!$H$6:$I$11,2,FALSE),0))</f>
        <v/>
      </c>
      <c r="R27" s="44">
        <f>IF(I27="","",IF(IFERROR(VLOOKUP(H27,'Tabelas e Instruções'!$H$6:$J$11,3,FALSE),"Não")="Sim",I27*Q27,0))</f>
        <v/>
      </c>
      <c r="S27" s="43" t="n"/>
      <c r="T27" s="44">
        <f>IF(I27="","",I27-L27-P27-R27-IF(S27="",0,S27))</f>
        <v/>
      </c>
      <c r="U27" s="60" t="n"/>
      <c r="V27" s="12">
        <f>IF(B27="","",IF(U27&lt;&gt;"","Pago",IF(B27&lt;TODAY(),"Atrasado","Pendente")))</f>
        <v/>
      </c>
      <c r="W27" s="7" t="n"/>
      <c r="X27" s="7" t="n"/>
    </row>
    <row r="28">
      <c r="A28" s="4" t="n"/>
      <c r="B28" s="60" t="n"/>
      <c r="C28" s="61">
        <f>IF(B28="","",DATE(YEAR(B28),MONTH(B28),1))</f>
        <v/>
      </c>
      <c r="D28" s="7" t="n"/>
      <c r="E28" s="8" t="n"/>
      <c r="F28" s="4" t="n"/>
      <c r="G28" s="7" t="n"/>
      <c r="H28" s="7" t="n"/>
      <c r="I28" s="43" t="n"/>
      <c r="J28" s="44">
        <f>IF(I28="","",I28)</f>
        <v/>
      </c>
      <c r="K28" s="62">
        <f>IF(I28="","",IFERROR(VLOOKUP('Tabelas e Instruções'!$A$6,'Tabelas e Instruções'!$A$6:$B$8,2,FALSE),0))</f>
        <v/>
      </c>
      <c r="L28" s="44">
        <f>IF(J28="","",MIN(J28*K28,'Tabelas e Instruções'!$B$10))</f>
        <v/>
      </c>
      <c r="M28" s="44">
        <f>IF(I28="","",MAX(0,I28-L28))</f>
        <v/>
      </c>
      <c r="N28" s="62">
        <f>IF(M28="","",IFERROR(VLOOKUP(M28,'Tabelas e Instruções'!$D$6:$F$10,2,TRUE),0))</f>
        <v/>
      </c>
      <c r="O28" s="44">
        <f>IF(M28="","",IFERROR(VLOOKUP(M28,'Tabelas e Instruções'!$D$6:$F$10,3,TRUE),0))</f>
        <v/>
      </c>
      <c r="P28" s="44">
        <f>IF(M28="","",MAX(0,(M28*N28)-O28))</f>
        <v/>
      </c>
      <c r="Q28" s="62">
        <f>IF(H28="","",IFERROR(VLOOKUP(H28,'Tabelas e Instruções'!$H$6:$I$11,2,FALSE),0))</f>
        <v/>
      </c>
      <c r="R28" s="44">
        <f>IF(I28="","",IF(IFERROR(VLOOKUP(H28,'Tabelas e Instruções'!$H$6:$J$11,3,FALSE),"Não")="Sim",I28*Q28,0))</f>
        <v/>
      </c>
      <c r="S28" s="43" t="n"/>
      <c r="T28" s="44">
        <f>IF(I28="","",I28-L28-P28-R28-IF(S28="",0,S28))</f>
        <v/>
      </c>
      <c r="U28" s="60" t="n"/>
      <c r="V28" s="12">
        <f>IF(B28="","",IF(U28&lt;&gt;"","Pago",IF(B28&lt;TODAY(),"Atrasado","Pendente")))</f>
        <v/>
      </c>
      <c r="W28" s="7" t="n"/>
      <c r="X28" s="7" t="n"/>
    </row>
    <row r="29">
      <c r="A29" s="4" t="n"/>
      <c r="B29" s="60" t="n"/>
      <c r="C29" s="61">
        <f>IF(B29="","",DATE(YEAR(B29),MONTH(B29),1))</f>
        <v/>
      </c>
      <c r="D29" s="7" t="n"/>
      <c r="E29" s="8" t="n"/>
      <c r="F29" s="4" t="n"/>
      <c r="G29" s="7" t="n"/>
      <c r="H29" s="7" t="n"/>
      <c r="I29" s="43" t="n"/>
      <c r="J29" s="44">
        <f>IF(I29="","",I29)</f>
        <v/>
      </c>
      <c r="K29" s="62">
        <f>IF(I29="","",IFERROR(VLOOKUP('Tabelas e Instruções'!$A$6,'Tabelas e Instruções'!$A$6:$B$8,2,FALSE),0))</f>
        <v/>
      </c>
      <c r="L29" s="44">
        <f>IF(J29="","",MIN(J29*K29,'Tabelas e Instruções'!$B$10))</f>
        <v/>
      </c>
      <c r="M29" s="44">
        <f>IF(I29="","",MAX(0,I29-L29))</f>
        <v/>
      </c>
      <c r="N29" s="62">
        <f>IF(M29="","",IFERROR(VLOOKUP(M29,'Tabelas e Instruções'!$D$6:$F$10,2,TRUE),0))</f>
        <v/>
      </c>
      <c r="O29" s="44">
        <f>IF(M29="","",IFERROR(VLOOKUP(M29,'Tabelas e Instruções'!$D$6:$F$10,3,TRUE),0))</f>
        <v/>
      </c>
      <c r="P29" s="44">
        <f>IF(M29="","",MAX(0,(M29*N29)-O29))</f>
        <v/>
      </c>
      <c r="Q29" s="62">
        <f>IF(H29="","",IFERROR(VLOOKUP(H29,'Tabelas e Instruções'!$H$6:$I$11,2,FALSE),0))</f>
        <v/>
      </c>
      <c r="R29" s="44">
        <f>IF(I29="","",IF(IFERROR(VLOOKUP(H29,'Tabelas e Instruções'!$H$6:$J$11,3,FALSE),"Não")="Sim",I29*Q29,0))</f>
        <v/>
      </c>
      <c r="S29" s="43" t="n"/>
      <c r="T29" s="44">
        <f>IF(I29="","",I29-L29-P29-R29-IF(S29="",0,S29))</f>
        <v/>
      </c>
      <c r="U29" s="60" t="n"/>
      <c r="V29" s="12">
        <f>IF(B29="","",IF(U29&lt;&gt;"","Pago",IF(B29&lt;TODAY(),"Atrasado","Pendente")))</f>
        <v/>
      </c>
      <c r="W29" s="7" t="n"/>
      <c r="X29" s="7" t="n"/>
    </row>
    <row r="30">
      <c r="A30" s="4" t="n"/>
      <c r="B30" s="60" t="n"/>
      <c r="C30" s="61">
        <f>IF(B30="","",DATE(YEAR(B30),MONTH(B30),1))</f>
        <v/>
      </c>
      <c r="D30" s="7" t="n"/>
      <c r="E30" s="8" t="n"/>
      <c r="F30" s="4" t="n"/>
      <c r="G30" s="7" t="n"/>
      <c r="H30" s="7" t="n"/>
      <c r="I30" s="43" t="n"/>
      <c r="J30" s="44">
        <f>IF(I30="","",I30)</f>
        <v/>
      </c>
      <c r="K30" s="62">
        <f>IF(I30="","",IFERROR(VLOOKUP('Tabelas e Instruções'!$A$6,'Tabelas e Instruções'!$A$6:$B$8,2,FALSE),0))</f>
        <v/>
      </c>
      <c r="L30" s="44">
        <f>IF(J30="","",MIN(J30*K30,'Tabelas e Instruções'!$B$10))</f>
        <v/>
      </c>
      <c r="M30" s="44">
        <f>IF(I30="","",MAX(0,I30-L30))</f>
        <v/>
      </c>
      <c r="N30" s="62">
        <f>IF(M30="","",IFERROR(VLOOKUP(M30,'Tabelas e Instruções'!$D$6:$F$10,2,TRUE),0))</f>
        <v/>
      </c>
      <c r="O30" s="44">
        <f>IF(M30="","",IFERROR(VLOOKUP(M30,'Tabelas e Instruções'!$D$6:$F$10,3,TRUE),0))</f>
        <v/>
      </c>
      <c r="P30" s="44">
        <f>IF(M30="","",MAX(0,(M30*N30)-O30))</f>
        <v/>
      </c>
      <c r="Q30" s="62">
        <f>IF(H30="","",IFERROR(VLOOKUP(H30,'Tabelas e Instruções'!$H$6:$I$11,2,FALSE),0))</f>
        <v/>
      </c>
      <c r="R30" s="44">
        <f>IF(I30="","",IF(IFERROR(VLOOKUP(H30,'Tabelas e Instruções'!$H$6:$J$11,3,FALSE),"Não")="Sim",I30*Q30,0))</f>
        <v/>
      </c>
      <c r="S30" s="43" t="n"/>
      <c r="T30" s="44">
        <f>IF(I30="","",I30-L30-P30-R30-IF(S30="",0,S30))</f>
        <v/>
      </c>
      <c r="U30" s="60" t="n"/>
      <c r="V30" s="12">
        <f>IF(B30="","",IF(U30&lt;&gt;"","Pago",IF(B30&lt;TODAY(),"Atrasado","Pendente")))</f>
        <v/>
      </c>
      <c r="W30" s="7" t="n"/>
      <c r="X30" s="7" t="n"/>
    </row>
    <row r="31">
      <c r="A31" s="4" t="n"/>
      <c r="B31" s="60" t="n"/>
      <c r="C31" s="61">
        <f>IF(B31="","",DATE(YEAR(B31),MONTH(B31),1))</f>
        <v/>
      </c>
      <c r="D31" s="7" t="n"/>
      <c r="E31" s="8" t="n"/>
      <c r="F31" s="4" t="n"/>
      <c r="G31" s="7" t="n"/>
      <c r="H31" s="7" t="n"/>
      <c r="I31" s="43" t="n"/>
      <c r="J31" s="44">
        <f>IF(I31="","",I31)</f>
        <v/>
      </c>
      <c r="K31" s="62">
        <f>IF(I31="","",IFERROR(VLOOKUP('Tabelas e Instruções'!$A$6,'Tabelas e Instruções'!$A$6:$B$8,2,FALSE),0))</f>
        <v/>
      </c>
      <c r="L31" s="44">
        <f>IF(J31="","",MIN(J31*K31,'Tabelas e Instruções'!$B$10))</f>
        <v/>
      </c>
      <c r="M31" s="44">
        <f>IF(I31="","",MAX(0,I31-L31))</f>
        <v/>
      </c>
      <c r="N31" s="62">
        <f>IF(M31="","",IFERROR(VLOOKUP(M31,'Tabelas e Instruções'!$D$6:$F$10,2,TRUE),0))</f>
        <v/>
      </c>
      <c r="O31" s="44">
        <f>IF(M31="","",IFERROR(VLOOKUP(M31,'Tabelas e Instruções'!$D$6:$F$10,3,TRUE),0))</f>
        <v/>
      </c>
      <c r="P31" s="44">
        <f>IF(M31="","",MAX(0,(M31*N31)-O31))</f>
        <v/>
      </c>
      <c r="Q31" s="62">
        <f>IF(H31="","",IFERROR(VLOOKUP(H31,'Tabelas e Instruções'!$H$6:$I$11,2,FALSE),0))</f>
        <v/>
      </c>
      <c r="R31" s="44">
        <f>IF(I31="","",IF(IFERROR(VLOOKUP(H31,'Tabelas e Instruções'!$H$6:$J$11,3,FALSE),"Não")="Sim",I31*Q31,0))</f>
        <v/>
      </c>
      <c r="S31" s="43" t="n"/>
      <c r="T31" s="44">
        <f>IF(I31="","",I31-L31-P31-R31-IF(S31="",0,S31))</f>
        <v/>
      </c>
      <c r="U31" s="60" t="n"/>
      <c r="V31" s="12">
        <f>IF(B31="","",IF(U31&lt;&gt;"","Pago",IF(B31&lt;TODAY(),"Atrasado","Pendente")))</f>
        <v/>
      </c>
      <c r="W31" s="7" t="n"/>
      <c r="X31" s="7" t="n"/>
    </row>
    <row r="32">
      <c r="A32" s="4" t="n"/>
      <c r="B32" s="60" t="n"/>
      <c r="C32" s="61">
        <f>IF(B32="","",DATE(YEAR(B32),MONTH(B32),1))</f>
        <v/>
      </c>
      <c r="D32" s="7" t="n"/>
      <c r="E32" s="8" t="n"/>
      <c r="F32" s="4" t="n"/>
      <c r="G32" s="7" t="n"/>
      <c r="H32" s="7" t="n"/>
      <c r="I32" s="43" t="n"/>
      <c r="J32" s="44">
        <f>IF(I32="","",I32)</f>
        <v/>
      </c>
      <c r="K32" s="62">
        <f>IF(I32="","",IFERROR(VLOOKUP('Tabelas e Instruções'!$A$6,'Tabelas e Instruções'!$A$6:$B$8,2,FALSE),0))</f>
        <v/>
      </c>
      <c r="L32" s="44">
        <f>IF(J32="","",MIN(J32*K32,'Tabelas e Instruções'!$B$10))</f>
        <v/>
      </c>
      <c r="M32" s="44">
        <f>IF(I32="","",MAX(0,I32-L32))</f>
        <v/>
      </c>
      <c r="N32" s="62">
        <f>IF(M32="","",IFERROR(VLOOKUP(M32,'Tabelas e Instruções'!$D$6:$F$10,2,TRUE),0))</f>
        <v/>
      </c>
      <c r="O32" s="44">
        <f>IF(M32="","",IFERROR(VLOOKUP(M32,'Tabelas e Instruções'!$D$6:$F$10,3,TRUE),0))</f>
        <v/>
      </c>
      <c r="P32" s="44">
        <f>IF(M32="","",MAX(0,(M32*N32)-O32))</f>
        <v/>
      </c>
      <c r="Q32" s="62">
        <f>IF(H32="","",IFERROR(VLOOKUP(H32,'Tabelas e Instruções'!$H$6:$I$11,2,FALSE),0))</f>
        <v/>
      </c>
      <c r="R32" s="44">
        <f>IF(I32="","",IF(IFERROR(VLOOKUP(H32,'Tabelas e Instruções'!$H$6:$J$11,3,FALSE),"Não")="Sim",I32*Q32,0))</f>
        <v/>
      </c>
      <c r="S32" s="43" t="n"/>
      <c r="T32" s="44">
        <f>IF(I32="","",I32-L32-P32-R32-IF(S32="",0,S32))</f>
        <v/>
      </c>
      <c r="U32" s="60" t="n"/>
      <c r="V32" s="12">
        <f>IF(B32="","",IF(U32&lt;&gt;"","Pago",IF(B32&lt;TODAY(),"Atrasado","Pendente")))</f>
        <v/>
      </c>
      <c r="W32" s="7" t="n"/>
      <c r="X32" s="7" t="n"/>
    </row>
    <row r="33">
      <c r="A33" s="4" t="n"/>
      <c r="B33" s="60" t="n"/>
      <c r="C33" s="61">
        <f>IF(B33="","",DATE(YEAR(B33),MONTH(B33),1))</f>
        <v/>
      </c>
      <c r="D33" s="7" t="n"/>
      <c r="E33" s="8" t="n"/>
      <c r="F33" s="4" t="n"/>
      <c r="G33" s="7" t="n"/>
      <c r="H33" s="7" t="n"/>
      <c r="I33" s="43" t="n"/>
      <c r="J33" s="44">
        <f>IF(I33="","",I33)</f>
        <v/>
      </c>
      <c r="K33" s="62">
        <f>IF(I33="","",IFERROR(VLOOKUP('Tabelas e Instruções'!$A$6,'Tabelas e Instruções'!$A$6:$B$8,2,FALSE),0))</f>
        <v/>
      </c>
      <c r="L33" s="44">
        <f>IF(J33="","",MIN(J33*K33,'Tabelas e Instruções'!$B$10))</f>
        <v/>
      </c>
      <c r="M33" s="44">
        <f>IF(I33="","",MAX(0,I33-L33))</f>
        <v/>
      </c>
      <c r="N33" s="62">
        <f>IF(M33="","",IFERROR(VLOOKUP(M33,'Tabelas e Instruções'!$D$6:$F$10,2,TRUE),0))</f>
        <v/>
      </c>
      <c r="O33" s="44">
        <f>IF(M33="","",IFERROR(VLOOKUP(M33,'Tabelas e Instruções'!$D$6:$F$10,3,TRUE),0))</f>
        <v/>
      </c>
      <c r="P33" s="44">
        <f>IF(M33="","",MAX(0,(M33*N33)-O33))</f>
        <v/>
      </c>
      <c r="Q33" s="62">
        <f>IF(H33="","",IFERROR(VLOOKUP(H33,'Tabelas e Instruções'!$H$6:$I$11,2,FALSE),0))</f>
        <v/>
      </c>
      <c r="R33" s="44">
        <f>IF(I33="","",IF(IFERROR(VLOOKUP(H33,'Tabelas e Instruções'!$H$6:$J$11,3,FALSE),"Não")="Sim",I33*Q33,0))</f>
        <v/>
      </c>
      <c r="S33" s="43" t="n"/>
      <c r="T33" s="44">
        <f>IF(I33="","",I33-L33-P33-R33-IF(S33="",0,S33))</f>
        <v/>
      </c>
      <c r="U33" s="60" t="n"/>
      <c r="V33" s="12">
        <f>IF(B33="","",IF(U33&lt;&gt;"","Pago",IF(B33&lt;TODAY(),"Atrasado","Pendente")))</f>
        <v/>
      </c>
      <c r="W33" s="7" t="n"/>
      <c r="X33" s="7" t="n"/>
    </row>
    <row r="34">
      <c r="A34" s="4" t="n"/>
      <c r="B34" s="60" t="n"/>
      <c r="C34" s="61">
        <f>IF(B34="","",DATE(YEAR(B34),MONTH(B34),1))</f>
        <v/>
      </c>
      <c r="D34" s="7" t="n"/>
      <c r="E34" s="8" t="n"/>
      <c r="F34" s="4" t="n"/>
      <c r="G34" s="7" t="n"/>
      <c r="H34" s="7" t="n"/>
      <c r="I34" s="43" t="n"/>
      <c r="J34" s="44">
        <f>IF(I34="","",I34)</f>
        <v/>
      </c>
      <c r="K34" s="62">
        <f>IF(I34="","",IFERROR(VLOOKUP('Tabelas e Instruções'!$A$6,'Tabelas e Instruções'!$A$6:$B$8,2,FALSE),0))</f>
        <v/>
      </c>
      <c r="L34" s="44">
        <f>IF(J34="","",MIN(J34*K34,'Tabelas e Instruções'!$B$10))</f>
        <v/>
      </c>
      <c r="M34" s="44">
        <f>IF(I34="","",MAX(0,I34-L34))</f>
        <v/>
      </c>
      <c r="N34" s="62">
        <f>IF(M34="","",IFERROR(VLOOKUP(M34,'Tabelas e Instruções'!$D$6:$F$10,2,TRUE),0))</f>
        <v/>
      </c>
      <c r="O34" s="44">
        <f>IF(M34="","",IFERROR(VLOOKUP(M34,'Tabelas e Instruções'!$D$6:$F$10,3,TRUE),0))</f>
        <v/>
      </c>
      <c r="P34" s="44">
        <f>IF(M34="","",MAX(0,(M34*N34)-O34))</f>
        <v/>
      </c>
      <c r="Q34" s="62">
        <f>IF(H34="","",IFERROR(VLOOKUP(H34,'Tabelas e Instruções'!$H$6:$I$11,2,FALSE),0))</f>
        <v/>
      </c>
      <c r="R34" s="44">
        <f>IF(I34="","",IF(IFERROR(VLOOKUP(H34,'Tabelas e Instruções'!$H$6:$J$11,3,FALSE),"Não")="Sim",I34*Q34,0))</f>
        <v/>
      </c>
      <c r="S34" s="43" t="n"/>
      <c r="T34" s="44">
        <f>IF(I34="","",I34-L34-P34-R34-IF(S34="",0,S34))</f>
        <v/>
      </c>
      <c r="U34" s="60" t="n"/>
      <c r="V34" s="12">
        <f>IF(B34="","",IF(U34&lt;&gt;"","Pago",IF(B34&lt;TODAY(),"Atrasado","Pendente")))</f>
        <v/>
      </c>
      <c r="W34" s="7" t="n"/>
      <c r="X34" s="7" t="n"/>
    </row>
    <row r="35">
      <c r="A35" s="4" t="n"/>
      <c r="B35" s="60" t="n"/>
      <c r="C35" s="61">
        <f>IF(B35="","",DATE(YEAR(B35),MONTH(B35),1))</f>
        <v/>
      </c>
      <c r="D35" s="7" t="n"/>
      <c r="E35" s="8" t="n"/>
      <c r="F35" s="4" t="n"/>
      <c r="G35" s="7" t="n"/>
      <c r="H35" s="7" t="n"/>
      <c r="I35" s="43" t="n"/>
      <c r="J35" s="44">
        <f>IF(I35="","",I35)</f>
        <v/>
      </c>
      <c r="K35" s="62">
        <f>IF(I35="","",IFERROR(VLOOKUP('Tabelas e Instruções'!$A$6,'Tabelas e Instruções'!$A$6:$B$8,2,FALSE),0))</f>
        <v/>
      </c>
      <c r="L35" s="44">
        <f>IF(J35="","",MIN(J35*K35,'Tabelas e Instruções'!$B$10))</f>
        <v/>
      </c>
      <c r="M35" s="44">
        <f>IF(I35="","",MAX(0,I35-L35))</f>
        <v/>
      </c>
      <c r="N35" s="62">
        <f>IF(M35="","",IFERROR(VLOOKUP(M35,'Tabelas e Instruções'!$D$6:$F$10,2,TRUE),0))</f>
        <v/>
      </c>
      <c r="O35" s="44">
        <f>IF(M35="","",IFERROR(VLOOKUP(M35,'Tabelas e Instruções'!$D$6:$F$10,3,TRUE),0))</f>
        <v/>
      </c>
      <c r="P35" s="44">
        <f>IF(M35="","",MAX(0,(M35*N35)-O35))</f>
        <v/>
      </c>
      <c r="Q35" s="62">
        <f>IF(H35="","",IFERROR(VLOOKUP(H35,'Tabelas e Instruções'!$H$6:$I$11,2,FALSE),0))</f>
        <v/>
      </c>
      <c r="R35" s="44">
        <f>IF(I35="","",IF(IFERROR(VLOOKUP(H35,'Tabelas e Instruções'!$H$6:$J$11,3,FALSE),"Não")="Sim",I35*Q35,0))</f>
        <v/>
      </c>
      <c r="S35" s="43" t="n"/>
      <c r="T35" s="44">
        <f>IF(I35="","",I35-L35-P35-R35-IF(S35="",0,S35))</f>
        <v/>
      </c>
      <c r="U35" s="60" t="n"/>
      <c r="V35" s="12">
        <f>IF(B35="","",IF(U35&lt;&gt;"","Pago",IF(B35&lt;TODAY(),"Atrasado","Pendente")))</f>
        <v/>
      </c>
      <c r="W35" s="7" t="n"/>
      <c r="X35" s="7" t="n"/>
    </row>
    <row r="36">
      <c r="A36" s="4" t="n"/>
      <c r="B36" s="60" t="n"/>
      <c r="C36" s="61">
        <f>IF(B36="","",DATE(YEAR(B36),MONTH(B36),1))</f>
        <v/>
      </c>
      <c r="D36" s="7" t="n"/>
      <c r="E36" s="8" t="n"/>
      <c r="F36" s="4" t="n"/>
      <c r="G36" s="7" t="n"/>
      <c r="H36" s="7" t="n"/>
      <c r="I36" s="43" t="n"/>
      <c r="J36" s="44">
        <f>IF(I36="","",I36)</f>
        <v/>
      </c>
      <c r="K36" s="62">
        <f>IF(I36="","",IFERROR(VLOOKUP('Tabelas e Instruções'!$A$6,'Tabelas e Instruções'!$A$6:$B$8,2,FALSE),0))</f>
        <v/>
      </c>
      <c r="L36" s="44">
        <f>IF(J36="","",MIN(J36*K36,'Tabelas e Instruções'!$B$10))</f>
        <v/>
      </c>
      <c r="M36" s="44">
        <f>IF(I36="","",MAX(0,I36-L36))</f>
        <v/>
      </c>
      <c r="N36" s="62">
        <f>IF(M36="","",IFERROR(VLOOKUP(M36,'Tabelas e Instruções'!$D$6:$F$10,2,TRUE),0))</f>
        <v/>
      </c>
      <c r="O36" s="44">
        <f>IF(M36="","",IFERROR(VLOOKUP(M36,'Tabelas e Instruções'!$D$6:$F$10,3,TRUE),0))</f>
        <v/>
      </c>
      <c r="P36" s="44">
        <f>IF(M36="","",MAX(0,(M36*N36)-O36))</f>
        <v/>
      </c>
      <c r="Q36" s="62">
        <f>IF(H36="","",IFERROR(VLOOKUP(H36,'Tabelas e Instruções'!$H$6:$I$11,2,FALSE),0))</f>
        <v/>
      </c>
      <c r="R36" s="44">
        <f>IF(I36="","",IF(IFERROR(VLOOKUP(H36,'Tabelas e Instruções'!$H$6:$J$11,3,FALSE),"Não")="Sim",I36*Q36,0))</f>
        <v/>
      </c>
      <c r="S36" s="43" t="n"/>
      <c r="T36" s="44">
        <f>IF(I36="","",I36-L36-P36-R36-IF(S36="",0,S36))</f>
        <v/>
      </c>
      <c r="U36" s="60" t="n"/>
      <c r="V36" s="12">
        <f>IF(B36="","",IF(U36&lt;&gt;"","Pago",IF(B36&lt;TODAY(),"Atrasado","Pendente")))</f>
        <v/>
      </c>
      <c r="W36" s="7" t="n"/>
      <c r="X36" s="7" t="n"/>
    </row>
    <row r="37">
      <c r="A37" s="4" t="n"/>
      <c r="B37" s="60" t="n"/>
      <c r="C37" s="61">
        <f>IF(B37="","",DATE(YEAR(B37),MONTH(B37),1))</f>
        <v/>
      </c>
      <c r="D37" s="7" t="n"/>
      <c r="E37" s="8" t="n"/>
      <c r="F37" s="4" t="n"/>
      <c r="G37" s="7" t="n"/>
      <c r="H37" s="7" t="n"/>
      <c r="I37" s="43" t="n"/>
      <c r="J37" s="44">
        <f>IF(I37="","",I37)</f>
        <v/>
      </c>
      <c r="K37" s="62">
        <f>IF(I37="","",IFERROR(VLOOKUP('Tabelas e Instruções'!$A$6,'Tabelas e Instruções'!$A$6:$B$8,2,FALSE),0))</f>
        <v/>
      </c>
      <c r="L37" s="44">
        <f>IF(J37="","",MIN(J37*K37,'Tabelas e Instruções'!$B$10))</f>
        <v/>
      </c>
      <c r="M37" s="44">
        <f>IF(I37="","",MAX(0,I37-L37))</f>
        <v/>
      </c>
      <c r="N37" s="62">
        <f>IF(M37="","",IFERROR(VLOOKUP(M37,'Tabelas e Instruções'!$D$6:$F$10,2,TRUE),0))</f>
        <v/>
      </c>
      <c r="O37" s="44">
        <f>IF(M37="","",IFERROR(VLOOKUP(M37,'Tabelas e Instruções'!$D$6:$F$10,3,TRUE),0))</f>
        <v/>
      </c>
      <c r="P37" s="44">
        <f>IF(M37="","",MAX(0,(M37*N37)-O37))</f>
        <v/>
      </c>
      <c r="Q37" s="62">
        <f>IF(H37="","",IFERROR(VLOOKUP(H37,'Tabelas e Instruções'!$H$6:$I$11,2,FALSE),0))</f>
        <v/>
      </c>
      <c r="R37" s="44">
        <f>IF(I37="","",IF(IFERROR(VLOOKUP(H37,'Tabelas e Instruções'!$H$6:$J$11,3,FALSE),"Não")="Sim",I37*Q37,0))</f>
        <v/>
      </c>
      <c r="S37" s="43" t="n"/>
      <c r="T37" s="44">
        <f>IF(I37="","",I37-L37-P37-R37-IF(S37="",0,S37))</f>
        <v/>
      </c>
      <c r="U37" s="60" t="n"/>
      <c r="V37" s="12">
        <f>IF(B37="","",IF(U37&lt;&gt;"","Pago",IF(B37&lt;TODAY(),"Atrasado","Pendente")))</f>
        <v/>
      </c>
      <c r="W37" s="7" t="n"/>
      <c r="X37" s="7" t="n"/>
    </row>
    <row r="38">
      <c r="A38" s="4" t="n"/>
      <c r="B38" s="60" t="n"/>
      <c r="C38" s="61">
        <f>IF(B38="","",DATE(YEAR(B38),MONTH(B38),1))</f>
        <v/>
      </c>
      <c r="D38" s="7" t="n"/>
      <c r="E38" s="8" t="n"/>
      <c r="F38" s="4" t="n"/>
      <c r="G38" s="7" t="n"/>
      <c r="H38" s="7" t="n"/>
      <c r="I38" s="43" t="n"/>
      <c r="J38" s="44">
        <f>IF(I38="","",I38)</f>
        <v/>
      </c>
      <c r="K38" s="62">
        <f>IF(I38="","",IFERROR(VLOOKUP('Tabelas e Instruções'!$A$6,'Tabelas e Instruções'!$A$6:$B$8,2,FALSE),0))</f>
        <v/>
      </c>
      <c r="L38" s="44">
        <f>IF(J38="","",MIN(J38*K38,'Tabelas e Instruções'!$B$10))</f>
        <v/>
      </c>
      <c r="M38" s="44">
        <f>IF(I38="","",MAX(0,I38-L38))</f>
        <v/>
      </c>
      <c r="N38" s="62">
        <f>IF(M38="","",IFERROR(VLOOKUP(M38,'Tabelas e Instruções'!$D$6:$F$10,2,TRUE),0))</f>
        <v/>
      </c>
      <c r="O38" s="44">
        <f>IF(M38="","",IFERROR(VLOOKUP(M38,'Tabelas e Instruções'!$D$6:$F$10,3,TRUE),0))</f>
        <v/>
      </c>
      <c r="P38" s="44">
        <f>IF(M38="","",MAX(0,(M38*N38)-O38))</f>
        <v/>
      </c>
      <c r="Q38" s="62">
        <f>IF(H38="","",IFERROR(VLOOKUP(H38,'Tabelas e Instruções'!$H$6:$I$11,2,FALSE),0))</f>
        <v/>
      </c>
      <c r="R38" s="44">
        <f>IF(I38="","",IF(IFERROR(VLOOKUP(H38,'Tabelas e Instruções'!$H$6:$J$11,3,FALSE),"Não")="Sim",I38*Q38,0))</f>
        <v/>
      </c>
      <c r="S38" s="43" t="n"/>
      <c r="T38" s="44">
        <f>IF(I38="","",I38-L38-P38-R38-IF(S38="",0,S38))</f>
        <v/>
      </c>
      <c r="U38" s="60" t="n"/>
      <c r="V38" s="12">
        <f>IF(B38="","",IF(U38&lt;&gt;"","Pago",IF(B38&lt;TODAY(),"Atrasado","Pendente")))</f>
        <v/>
      </c>
      <c r="W38" s="7" t="n"/>
      <c r="X38" s="7" t="n"/>
    </row>
    <row r="39">
      <c r="A39" s="4" t="n"/>
      <c r="B39" s="60" t="n"/>
      <c r="C39" s="61">
        <f>IF(B39="","",DATE(YEAR(B39),MONTH(B39),1))</f>
        <v/>
      </c>
      <c r="D39" s="7" t="n"/>
      <c r="E39" s="8" t="n"/>
      <c r="F39" s="4" t="n"/>
      <c r="G39" s="7" t="n"/>
      <c r="H39" s="7" t="n"/>
      <c r="I39" s="43" t="n"/>
      <c r="J39" s="44">
        <f>IF(I39="","",I39)</f>
        <v/>
      </c>
      <c r="K39" s="62">
        <f>IF(I39="","",IFERROR(VLOOKUP('Tabelas e Instruções'!$A$6,'Tabelas e Instruções'!$A$6:$B$8,2,FALSE),0))</f>
        <v/>
      </c>
      <c r="L39" s="44">
        <f>IF(J39="","",MIN(J39*K39,'Tabelas e Instruções'!$B$10))</f>
        <v/>
      </c>
      <c r="M39" s="44">
        <f>IF(I39="","",MAX(0,I39-L39))</f>
        <v/>
      </c>
      <c r="N39" s="62">
        <f>IF(M39="","",IFERROR(VLOOKUP(M39,'Tabelas e Instruções'!$D$6:$F$10,2,TRUE),0))</f>
        <v/>
      </c>
      <c r="O39" s="44">
        <f>IF(M39="","",IFERROR(VLOOKUP(M39,'Tabelas e Instruções'!$D$6:$F$10,3,TRUE),0))</f>
        <v/>
      </c>
      <c r="P39" s="44">
        <f>IF(M39="","",MAX(0,(M39*N39)-O39))</f>
        <v/>
      </c>
      <c r="Q39" s="62">
        <f>IF(H39="","",IFERROR(VLOOKUP(H39,'Tabelas e Instruções'!$H$6:$I$11,2,FALSE),0))</f>
        <v/>
      </c>
      <c r="R39" s="44">
        <f>IF(I39="","",IF(IFERROR(VLOOKUP(H39,'Tabelas e Instruções'!$H$6:$J$11,3,FALSE),"Não")="Sim",I39*Q39,0))</f>
        <v/>
      </c>
      <c r="S39" s="43" t="n"/>
      <c r="T39" s="44">
        <f>IF(I39="","",I39-L39-P39-R39-IF(S39="",0,S39))</f>
        <v/>
      </c>
      <c r="U39" s="60" t="n"/>
      <c r="V39" s="12">
        <f>IF(B39="","",IF(U39&lt;&gt;"","Pago",IF(B39&lt;TODAY(),"Atrasado","Pendente")))</f>
        <v/>
      </c>
      <c r="W39" s="7" t="n"/>
      <c r="X39" s="7" t="n"/>
    </row>
    <row r="40">
      <c r="A40" s="4" t="n"/>
      <c r="B40" s="60" t="n"/>
      <c r="C40" s="61">
        <f>IF(B40="","",DATE(YEAR(B40),MONTH(B40),1))</f>
        <v/>
      </c>
      <c r="D40" s="7" t="n"/>
      <c r="E40" s="8" t="n"/>
      <c r="F40" s="4" t="n"/>
      <c r="G40" s="7" t="n"/>
      <c r="H40" s="7" t="n"/>
      <c r="I40" s="43" t="n"/>
      <c r="J40" s="44">
        <f>IF(I40="","",I40)</f>
        <v/>
      </c>
      <c r="K40" s="62">
        <f>IF(I40="","",IFERROR(VLOOKUP('Tabelas e Instruções'!$A$6,'Tabelas e Instruções'!$A$6:$B$8,2,FALSE),0))</f>
        <v/>
      </c>
      <c r="L40" s="44">
        <f>IF(J40="","",MIN(J40*K40,'Tabelas e Instruções'!$B$10))</f>
        <v/>
      </c>
      <c r="M40" s="44">
        <f>IF(I40="","",MAX(0,I40-L40))</f>
        <v/>
      </c>
      <c r="N40" s="62">
        <f>IF(M40="","",IFERROR(VLOOKUP(M40,'Tabelas e Instruções'!$D$6:$F$10,2,TRUE),0))</f>
        <v/>
      </c>
      <c r="O40" s="44">
        <f>IF(M40="","",IFERROR(VLOOKUP(M40,'Tabelas e Instruções'!$D$6:$F$10,3,TRUE),0))</f>
        <v/>
      </c>
      <c r="P40" s="44">
        <f>IF(M40="","",MAX(0,(M40*N40)-O40))</f>
        <v/>
      </c>
      <c r="Q40" s="62">
        <f>IF(H40="","",IFERROR(VLOOKUP(H40,'Tabelas e Instruções'!$H$6:$I$11,2,FALSE),0))</f>
        <v/>
      </c>
      <c r="R40" s="44">
        <f>IF(I40="","",IF(IFERROR(VLOOKUP(H40,'Tabelas e Instruções'!$H$6:$J$11,3,FALSE),"Não")="Sim",I40*Q40,0))</f>
        <v/>
      </c>
      <c r="S40" s="43" t="n"/>
      <c r="T40" s="44">
        <f>IF(I40="","",I40-L40-P40-R40-IF(S40="",0,S40))</f>
        <v/>
      </c>
      <c r="U40" s="60" t="n"/>
      <c r="V40" s="12">
        <f>IF(B40="","",IF(U40&lt;&gt;"","Pago",IF(B40&lt;TODAY(),"Atrasado","Pendente")))</f>
        <v/>
      </c>
      <c r="W40" s="7" t="n"/>
      <c r="X40" s="7" t="n"/>
    </row>
    <row r="41">
      <c r="A41" s="4" t="n"/>
      <c r="B41" s="60" t="n"/>
      <c r="C41" s="61">
        <f>IF(B41="","",DATE(YEAR(B41),MONTH(B41),1))</f>
        <v/>
      </c>
      <c r="D41" s="7" t="n"/>
      <c r="E41" s="8" t="n"/>
      <c r="F41" s="4" t="n"/>
      <c r="G41" s="7" t="n"/>
      <c r="H41" s="7" t="n"/>
      <c r="I41" s="43" t="n"/>
      <c r="J41" s="44">
        <f>IF(I41="","",I41)</f>
        <v/>
      </c>
      <c r="K41" s="62">
        <f>IF(I41="","",IFERROR(VLOOKUP('Tabelas e Instruções'!$A$6,'Tabelas e Instruções'!$A$6:$B$8,2,FALSE),0))</f>
        <v/>
      </c>
      <c r="L41" s="44">
        <f>IF(J41="","",MIN(J41*K41,'Tabelas e Instruções'!$B$10))</f>
        <v/>
      </c>
      <c r="M41" s="44">
        <f>IF(I41="","",MAX(0,I41-L41))</f>
        <v/>
      </c>
      <c r="N41" s="62">
        <f>IF(M41="","",IFERROR(VLOOKUP(M41,'Tabelas e Instruções'!$D$6:$F$10,2,TRUE),0))</f>
        <v/>
      </c>
      <c r="O41" s="44">
        <f>IF(M41="","",IFERROR(VLOOKUP(M41,'Tabelas e Instruções'!$D$6:$F$10,3,TRUE),0))</f>
        <v/>
      </c>
      <c r="P41" s="44">
        <f>IF(M41="","",MAX(0,(M41*N41)-O41))</f>
        <v/>
      </c>
      <c r="Q41" s="62">
        <f>IF(H41="","",IFERROR(VLOOKUP(H41,'Tabelas e Instruções'!$H$6:$I$11,2,FALSE),0))</f>
        <v/>
      </c>
      <c r="R41" s="44">
        <f>IF(I41="","",IF(IFERROR(VLOOKUP(H41,'Tabelas e Instruções'!$H$6:$J$11,3,FALSE),"Não")="Sim",I41*Q41,0))</f>
        <v/>
      </c>
      <c r="S41" s="43" t="n"/>
      <c r="T41" s="44">
        <f>IF(I41="","",I41-L41-P41-R41-IF(S41="",0,S41))</f>
        <v/>
      </c>
      <c r="U41" s="60" t="n"/>
      <c r="V41" s="12">
        <f>IF(B41="","",IF(U41&lt;&gt;"","Pago",IF(B41&lt;TODAY(),"Atrasado","Pendente")))</f>
        <v/>
      </c>
      <c r="W41" s="7" t="n"/>
      <c r="X41" s="7" t="n"/>
    </row>
    <row r="42">
      <c r="A42" s="4" t="n"/>
      <c r="B42" s="60" t="n"/>
      <c r="C42" s="61">
        <f>IF(B42="","",DATE(YEAR(B42),MONTH(B42),1))</f>
        <v/>
      </c>
      <c r="D42" s="7" t="n"/>
      <c r="E42" s="8" t="n"/>
      <c r="F42" s="4" t="n"/>
      <c r="G42" s="7" t="n"/>
      <c r="H42" s="7" t="n"/>
      <c r="I42" s="43" t="n"/>
      <c r="J42" s="44">
        <f>IF(I42="","",I42)</f>
        <v/>
      </c>
      <c r="K42" s="62">
        <f>IF(I42="","",IFERROR(VLOOKUP('Tabelas e Instruções'!$A$6,'Tabelas e Instruções'!$A$6:$B$8,2,FALSE),0))</f>
        <v/>
      </c>
      <c r="L42" s="44">
        <f>IF(J42="","",MIN(J42*K42,'Tabelas e Instruções'!$B$10))</f>
        <v/>
      </c>
      <c r="M42" s="44">
        <f>IF(I42="","",MAX(0,I42-L42))</f>
        <v/>
      </c>
      <c r="N42" s="62">
        <f>IF(M42="","",IFERROR(VLOOKUP(M42,'Tabelas e Instruções'!$D$6:$F$10,2,TRUE),0))</f>
        <v/>
      </c>
      <c r="O42" s="44">
        <f>IF(M42="","",IFERROR(VLOOKUP(M42,'Tabelas e Instruções'!$D$6:$F$10,3,TRUE),0))</f>
        <v/>
      </c>
      <c r="P42" s="44">
        <f>IF(M42="","",MAX(0,(M42*N42)-O42))</f>
        <v/>
      </c>
      <c r="Q42" s="62">
        <f>IF(H42="","",IFERROR(VLOOKUP(H42,'Tabelas e Instruções'!$H$6:$I$11,2,FALSE),0))</f>
        <v/>
      </c>
      <c r="R42" s="44">
        <f>IF(I42="","",IF(IFERROR(VLOOKUP(H42,'Tabelas e Instruções'!$H$6:$J$11,3,FALSE),"Não")="Sim",I42*Q42,0))</f>
        <v/>
      </c>
      <c r="S42" s="43" t="n"/>
      <c r="T42" s="44">
        <f>IF(I42="","",I42-L42-P42-R42-IF(S42="",0,S42))</f>
        <v/>
      </c>
      <c r="U42" s="60" t="n"/>
      <c r="V42" s="12">
        <f>IF(B42="","",IF(U42&lt;&gt;"","Pago",IF(B42&lt;TODAY(),"Atrasado","Pendente")))</f>
        <v/>
      </c>
      <c r="W42" s="7" t="n"/>
      <c r="X42" s="7" t="n"/>
    </row>
    <row r="43">
      <c r="A43" s="4" t="n"/>
      <c r="B43" s="60" t="n"/>
      <c r="C43" s="61">
        <f>IF(B43="","",DATE(YEAR(B43),MONTH(B43),1))</f>
        <v/>
      </c>
      <c r="D43" s="7" t="n"/>
      <c r="E43" s="8" t="n"/>
      <c r="F43" s="4" t="n"/>
      <c r="G43" s="7" t="n"/>
      <c r="H43" s="7" t="n"/>
      <c r="I43" s="43" t="n"/>
      <c r="J43" s="44">
        <f>IF(I43="","",I43)</f>
        <v/>
      </c>
      <c r="K43" s="62">
        <f>IF(I43="","",IFERROR(VLOOKUP('Tabelas e Instruções'!$A$6,'Tabelas e Instruções'!$A$6:$B$8,2,FALSE),0))</f>
        <v/>
      </c>
      <c r="L43" s="44">
        <f>IF(J43="","",MIN(J43*K43,'Tabelas e Instruções'!$B$10))</f>
        <v/>
      </c>
      <c r="M43" s="44">
        <f>IF(I43="","",MAX(0,I43-L43))</f>
        <v/>
      </c>
      <c r="N43" s="62">
        <f>IF(M43="","",IFERROR(VLOOKUP(M43,'Tabelas e Instruções'!$D$6:$F$10,2,TRUE),0))</f>
        <v/>
      </c>
      <c r="O43" s="44">
        <f>IF(M43="","",IFERROR(VLOOKUP(M43,'Tabelas e Instruções'!$D$6:$F$10,3,TRUE),0))</f>
        <v/>
      </c>
      <c r="P43" s="44">
        <f>IF(M43="","",MAX(0,(M43*N43)-O43))</f>
        <v/>
      </c>
      <c r="Q43" s="62">
        <f>IF(H43="","",IFERROR(VLOOKUP(H43,'Tabelas e Instruções'!$H$6:$I$11,2,FALSE),0))</f>
        <v/>
      </c>
      <c r="R43" s="44">
        <f>IF(I43="","",IF(IFERROR(VLOOKUP(H43,'Tabelas e Instruções'!$H$6:$J$11,3,FALSE),"Não")="Sim",I43*Q43,0))</f>
        <v/>
      </c>
      <c r="S43" s="43" t="n"/>
      <c r="T43" s="44">
        <f>IF(I43="","",I43-L43-P43-R43-IF(S43="",0,S43))</f>
        <v/>
      </c>
      <c r="U43" s="60" t="n"/>
      <c r="V43" s="12">
        <f>IF(B43="","",IF(U43&lt;&gt;"","Pago",IF(B43&lt;TODAY(),"Atrasado","Pendente")))</f>
        <v/>
      </c>
      <c r="W43" s="7" t="n"/>
      <c r="X43" s="7" t="n"/>
    </row>
    <row r="44">
      <c r="A44" s="4" t="n"/>
      <c r="B44" s="60" t="n"/>
      <c r="C44" s="61">
        <f>IF(B44="","",DATE(YEAR(B44),MONTH(B44),1))</f>
        <v/>
      </c>
      <c r="D44" s="7" t="n"/>
      <c r="E44" s="8" t="n"/>
      <c r="F44" s="4" t="n"/>
      <c r="G44" s="7" t="n"/>
      <c r="H44" s="7" t="n"/>
      <c r="I44" s="43" t="n"/>
      <c r="J44" s="44">
        <f>IF(I44="","",I44)</f>
        <v/>
      </c>
      <c r="K44" s="62">
        <f>IF(I44="","",IFERROR(VLOOKUP('Tabelas e Instruções'!$A$6,'Tabelas e Instruções'!$A$6:$B$8,2,FALSE),0))</f>
        <v/>
      </c>
      <c r="L44" s="44">
        <f>IF(J44="","",MIN(J44*K44,'Tabelas e Instruções'!$B$10))</f>
        <v/>
      </c>
      <c r="M44" s="44">
        <f>IF(I44="","",MAX(0,I44-L44))</f>
        <v/>
      </c>
      <c r="N44" s="62">
        <f>IF(M44="","",IFERROR(VLOOKUP(M44,'Tabelas e Instruções'!$D$6:$F$10,2,TRUE),0))</f>
        <v/>
      </c>
      <c r="O44" s="44">
        <f>IF(M44="","",IFERROR(VLOOKUP(M44,'Tabelas e Instruções'!$D$6:$F$10,3,TRUE),0))</f>
        <v/>
      </c>
      <c r="P44" s="44">
        <f>IF(M44="","",MAX(0,(M44*N44)-O44))</f>
        <v/>
      </c>
      <c r="Q44" s="62">
        <f>IF(H44="","",IFERROR(VLOOKUP(H44,'Tabelas e Instruções'!$H$6:$I$11,2,FALSE),0))</f>
        <v/>
      </c>
      <c r="R44" s="44">
        <f>IF(I44="","",IF(IFERROR(VLOOKUP(H44,'Tabelas e Instruções'!$H$6:$J$11,3,FALSE),"Não")="Sim",I44*Q44,0))</f>
        <v/>
      </c>
      <c r="S44" s="43" t="n"/>
      <c r="T44" s="44">
        <f>IF(I44="","",I44-L44-P44-R44-IF(S44="",0,S44))</f>
        <v/>
      </c>
      <c r="U44" s="60" t="n"/>
      <c r="V44" s="12">
        <f>IF(B44="","",IF(U44&lt;&gt;"","Pago",IF(B44&lt;TODAY(),"Atrasado","Pendente")))</f>
        <v/>
      </c>
      <c r="W44" s="7" t="n"/>
      <c r="X44" s="7" t="n"/>
    </row>
    <row r="45">
      <c r="A45" s="4" t="n"/>
      <c r="B45" s="60" t="n"/>
      <c r="C45" s="61">
        <f>IF(B45="","",DATE(YEAR(B45),MONTH(B45),1))</f>
        <v/>
      </c>
      <c r="D45" s="7" t="n"/>
      <c r="E45" s="8" t="n"/>
      <c r="F45" s="4" t="n"/>
      <c r="G45" s="7" t="n"/>
      <c r="H45" s="7" t="n"/>
      <c r="I45" s="43" t="n"/>
      <c r="J45" s="44">
        <f>IF(I45="","",I45)</f>
        <v/>
      </c>
      <c r="K45" s="62">
        <f>IF(I45="","",IFERROR(VLOOKUP('Tabelas e Instruções'!$A$6,'Tabelas e Instruções'!$A$6:$B$8,2,FALSE),0))</f>
        <v/>
      </c>
      <c r="L45" s="44">
        <f>IF(J45="","",MIN(J45*K45,'Tabelas e Instruções'!$B$10))</f>
        <v/>
      </c>
      <c r="M45" s="44">
        <f>IF(I45="","",MAX(0,I45-L45))</f>
        <v/>
      </c>
      <c r="N45" s="62">
        <f>IF(M45="","",IFERROR(VLOOKUP(M45,'Tabelas e Instruções'!$D$6:$F$10,2,TRUE),0))</f>
        <v/>
      </c>
      <c r="O45" s="44">
        <f>IF(M45="","",IFERROR(VLOOKUP(M45,'Tabelas e Instruções'!$D$6:$F$10,3,TRUE),0))</f>
        <v/>
      </c>
      <c r="P45" s="44">
        <f>IF(M45="","",MAX(0,(M45*N45)-O45))</f>
        <v/>
      </c>
      <c r="Q45" s="62">
        <f>IF(H45="","",IFERROR(VLOOKUP(H45,'Tabelas e Instruções'!$H$6:$I$11,2,FALSE),0))</f>
        <v/>
      </c>
      <c r="R45" s="44">
        <f>IF(I45="","",IF(IFERROR(VLOOKUP(H45,'Tabelas e Instruções'!$H$6:$J$11,3,FALSE),"Não")="Sim",I45*Q45,0))</f>
        <v/>
      </c>
      <c r="S45" s="43" t="n"/>
      <c r="T45" s="44">
        <f>IF(I45="","",I45-L45-P45-R45-IF(S45="",0,S45))</f>
        <v/>
      </c>
      <c r="U45" s="60" t="n"/>
      <c r="V45" s="12">
        <f>IF(B45="","",IF(U45&lt;&gt;"","Pago",IF(B45&lt;TODAY(),"Atrasado","Pendente")))</f>
        <v/>
      </c>
      <c r="W45" s="7" t="n"/>
      <c r="X45" s="7" t="n"/>
    </row>
    <row r="46">
      <c r="A46" s="4" t="n"/>
      <c r="B46" s="60" t="n"/>
      <c r="C46" s="61">
        <f>IF(B46="","",DATE(YEAR(B46),MONTH(B46),1))</f>
        <v/>
      </c>
      <c r="D46" s="7" t="n"/>
      <c r="E46" s="8" t="n"/>
      <c r="F46" s="4" t="n"/>
      <c r="G46" s="7" t="n"/>
      <c r="H46" s="7" t="n"/>
      <c r="I46" s="43" t="n"/>
      <c r="J46" s="44">
        <f>IF(I46="","",I46)</f>
        <v/>
      </c>
      <c r="K46" s="62">
        <f>IF(I46="","",IFERROR(VLOOKUP('Tabelas e Instruções'!$A$6,'Tabelas e Instruções'!$A$6:$B$8,2,FALSE),0))</f>
        <v/>
      </c>
      <c r="L46" s="44">
        <f>IF(J46="","",MIN(J46*K46,'Tabelas e Instruções'!$B$10))</f>
        <v/>
      </c>
      <c r="M46" s="44">
        <f>IF(I46="","",MAX(0,I46-L46))</f>
        <v/>
      </c>
      <c r="N46" s="62">
        <f>IF(M46="","",IFERROR(VLOOKUP(M46,'Tabelas e Instruções'!$D$6:$F$10,2,TRUE),0))</f>
        <v/>
      </c>
      <c r="O46" s="44">
        <f>IF(M46="","",IFERROR(VLOOKUP(M46,'Tabelas e Instruções'!$D$6:$F$10,3,TRUE),0))</f>
        <v/>
      </c>
      <c r="P46" s="44">
        <f>IF(M46="","",MAX(0,(M46*N46)-O46))</f>
        <v/>
      </c>
      <c r="Q46" s="62">
        <f>IF(H46="","",IFERROR(VLOOKUP(H46,'Tabelas e Instruções'!$H$6:$I$11,2,FALSE),0))</f>
        <v/>
      </c>
      <c r="R46" s="44">
        <f>IF(I46="","",IF(IFERROR(VLOOKUP(H46,'Tabelas e Instruções'!$H$6:$J$11,3,FALSE),"Não")="Sim",I46*Q46,0))</f>
        <v/>
      </c>
      <c r="S46" s="43" t="n"/>
      <c r="T46" s="44">
        <f>IF(I46="","",I46-L46-P46-R46-IF(S46="",0,S46))</f>
        <v/>
      </c>
      <c r="U46" s="60" t="n"/>
      <c r="V46" s="12">
        <f>IF(B46="","",IF(U46&lt;&gt;"","Pago",IF(B46&lt;TODAY(),"Atrasado","Pendente")))</f>
        <v/>
      </c>
      <c r="W46" s="7" t="n"/>
      <c r="X46" s="7" t="n"/>
    </row>
    <row r="47">
      <c r="A47" s="4" t="n"/>
      <c r="B47" s="60" t="n"/>
      <c r="C47" s="61">
        <f>IF(B47="","",DATE(YEAR(B47),MONTH(B47),1))</f>
        <v/>
      </c>
      <c r="D47" s="7" t="n"/>
      <c r="E47" s="8" t="n"/>
      <c r="F47" s="4" t="n"/>
      <c r="G47" s="7" t="n"/>
      <c r="H47" s="7" t="n"/>
      <c r="I47" s="43" t="n"/>
      <c r="J47" s="44">
        <f>IF(I47="","",I47)</f>
        <v/>
      </c>
      <c r="K47" s="62">
        <f>IF(I47="","",IFERROR(VLOOKUP('Tabelas e Instruções'!$A$6,'Tabelas e Instruções'!$A$6:$B$8,2,FALSE),0))</f>
        <v/>
      </c>
      <c r="L47" s="44">
        <f>IF(J47="","",MIN(J47*K47,'Tabelas e Instruções'!$B$10))</f>
        <v/>
      </c>
      <c r="M47" s="44">
        <f>IF(I47="","",MAX(0,I47-L47))</f>
        <v/>
      </c>
      <c r="N47" s="62">
        <f>IF(M47="","",IFERROR(VLOOKUP(M47,'Tabelas e Instruções'!$D$6:$F$10,2,TRUE),0))</f>
        <v/>
      </c>
      <c r="O47" s="44">
        <f>IF(M47="","",IFERROR(VLOOKUP(M47,'Tabelas e Instruções'!$D$6:$F$10,3,TRUE),0))</f>
        <v/>
      </c>
      <c r="P47" s="44">
        <f>IF(M47="","",MAX(0,(M47*N47)-O47))</f>
        <v/>
      </c>
      <c r="Q47" s="62">
        <f>IF(H47="","",IFERROR(VLOOKUP(H47,'Tabelas e Instruções'!$H$6:$I$11,2,FALSE),0))</f>
        <v/>
      </c>
      <c r="R47" s="44">
        <f>IF(I47="","",IF(IFERROR(VLOOKUP(H47,'Tabelas e Instruções'!$H$6:$J$11,3,FALSE),"Não")="Sim",I47*Q47,0))</f>
        <v/>
      </c>
      <c r="S47" s="43" t="n"/>
      <c r="T47" s="44">
        <f>IF(I47="","",I47-L47-P47-R47-IF(S47="",0,S47))</f>
        <v/>
      </c>
      <c r="U47" s="60" t="n"/>
      <c r="V47" s="12">
        <f>IF(B47="","",IF(U47&lt;&gt;"","Pago",IF(B47&lt;TODAY(),"Atrasado","Pendente")))</f>
        <v/>
      </c>
      <c r="W47" s="7" t="n"/>
      <c r="X47" s="7" t="n"/>
    </row>
    <row r="48">
      <c r="A48" s="4" t="n"/>
      <c r="B48" s="60" t="n"/>
      <c r="C48" s="61">
        <f>IF(B48="","",DATE(YEAR(B48),MONTH(B48),1))</f>
        <v/>
      </c>
      <c r="D48" s="7" t="n"/>
      <c r="E48" s="8" t="n"/>
      <c r="F48" s="4" t="n"/>
      <c r="G48" s="7" t="n"/>
      <c r="H48" s="7" t="n"/>
      <c r="I48" s="43" t="n"/>
      <c r="J48" s="44">
        <f>IF(I48="","",I48)</f>
        <v/>
      </c>
      <c r="K48" s="62">
        <f>IF(I48="","",IFERROR(VLOOKUP('Tabelas e Instruções'!$A$6,'Tabelas e Instruções'!$A$6:$B$8,2,FALSE),0))</f>
        <v/>
      </c>
      <c r="L48" s="44">
        <f>IF(J48="","",MIN(J48*K48,'Tabelas e Instruções'!$B$10))</f>
        <v/>
      </c>
      <c r="M48" s="44">
        <f>IF(I48="","",MAX(0,I48-L48))</f>
        <v/>
      </c>
      <c r="N48" s="62">
        <f>IF(M48="","",IFERROR(VLOOKUP(M48,'Tabelas e Instruções'!$D$6:$F$10,2,TRUE),0))</f>
        <v/>
      </c>
      <c r="O48" s="44">
        <f>IF(M48="","",IFERROR(VLOOKUP(M48,'Tabelas e Instruções'!$D$6:$F$10,3,TRUE),0))</f>
        <v/>
      </c>
      <c r="P48" s="44">
        <f>IF(M48="","",MAX(0,(M48*N48)-O48))</f>
        <v/>
      </c>
      <c r="Q48" s="62">
        <f>IF(H48="","",IFERROR(VLOOKUP(H48,'Tabelas e Instruções'!$H$6:$I$11,2,FALSE),0))</f>
        <v/>
      </c>
      <c r="R48" s="44">
        <f>IF(I48="","",IF(IFERROR(VLOOKUP(H48,'Tabelas e Instruções'!$H$6:$J$11,3,FALSE),"Não")="Sim",I48*Q48,0))</f>
        <v/>
      </c>
      <c r="S48" s="43" t="n"/>
      <c r="T48" s="44">
        <f>IF(I48="","",I48-L48-P48-R48-IF(S48="",0,S48))</f>
        <v/>
      </c>
      <c r="U48" s="60" t="n"/>
      <c r="V48" s="12">
        <f>IF(B48="","",IF(U48&lt;&gt;"","Pago",IF(B48&lt;TODAY(),"Atrasado","Pendente")))</f>
        <v/>
      </c>
      <c r="W48" s="7" t="n"/>
      <c r="X48" s="7" t="n"/>
    </row>
    <row r="49">
      <c r="A49" s="4" t="n"/>
      <c r="B49" s="60" t="n"/>
      <c r="C49" s="61">
        <f>IF(B49="","",DATE(YEAR(B49),MONTH(B49),1))</f>
        <v/>
      </c>
      <c r="D49" s="7" t="n"/>
      <c r="E49" s="8" t="n"/>
      <c r="F49" s="4" t="n"/>
      <c r="G49" s="7" t="n"/>
      <c r="H49" s="7" t="n"/>
      <c r="I49" s="43" t="n"/>
      <c r="J49" s="44">
        <f>IF(I49="","",I49)</f>
        <v/>
      </c>
      <c r="K49" s="62">
        <f>IF(I49="","",IFERROR(VLOOKUP('Tabelas e Instruções'!$A$6,'Tabelas e Instruções'!$A$6:$B$8,2,FALSE),0))</f>
        <v/>
      </c>
      <c r="L49" s="44">
        <f>IF(J49="","",MIN(J49*K49,'Tabelas e Instruções'!$B$10))</f>
        <v/>
      </c>
      <c r="M49" s="44">
        <f>IF(I49="","",MAX(0,I49-L49))</f>
        <v/>
      </c>
      <c r="N49" s="62">
        <f>IF(M49="","",IFERROR(VLOOKUP(M49,'Tabelas e Instruções'!$D$6:$F$10,2,TRUE),0))</f>
        <v/>
      </c>
      <c r="O49" s="44">
        <f>IF(M49="","",IFERROR(VLOOKUP(M49,'Tabelas e Instruções'!$D$6:$F$10,3,TRUE),0))</f>
        <v/>
      </c>
      <c r="P49" s="44">
        <f>IF(M49="","",MAX(0,(M49*N49)-O49))</f>
        <v/>
      </c>
      <c r="Q49" s="62">
        <f>IF(H49="","",IFERROR(VLOOKUP(H49,'Tabelas e Instruções'!$H$6:$I$11,2,FALSE),0))</f>
        <v/>
      </c>
      <c r="R49" s="44">
        <f>IF(I49="","",IF(IFERROR(VLOOKUP(H49,'Tabelas e Instruções'!$H$6:$J$11,3,FALSE),"Não")="Sim",I49*Q49,0))</f>
        <v/>
      </c>
      <c r="S49" s="43" t="n"/>
      <c r="T49" s="44">
        <f>IF(I49="","",I49-L49-P49-R49-IF(S49="",0,S49))</f>
        <v/>
      </c>
      <c r="U49" s="60" t="n"/>
      <c r="V49" s="12">
        <f>IF(B49="","",IF(U49&lt;&gt;"","Pago",IF(B49&lt;TODAY(),"Atrasado","Pendente")))</f>
        <v/>
      </c>
      <c r="W49" s="7" t="n"/>
      <c r="X49" s="7" t="n"/>
    </row>
    <row r="50">
      <c r="A50" s="4" t="n"/>
      <c r="B50" s="60" t="n"/>
      <c r="C50" s="61">
        <f>IF(B50="","",DATE(YEAR(B50),MONTH(B50),1))</f>
        <v/>
      </c>
      <c r="D50" s="7" t="n"/>
      <c r="E50" s="8" t="n"/>
      <c r="F50" s="4" t="n"/>
      <c r="G50" s="7" t="n"/>
      <c r="H50" s="7" t="n"/>
      <c r="I50" s="43" t="n"/>
      <c r="J50" s="44">
        <f>IF(I50="","",I50)</f>
        <v/>
      </c>
      <c r="K50" s="62">
        <f>IF(I50="","",IFERROR(VLOOKUP('Tabelas e Instruções'!$A$6,'Tabelas e Instruções'!$A$6:$B$8,2,FALSE),0))</f>
        <v/>
      </c>
      <c r="L50" s="44">
        <f>IF(J50="","",MIN(J50*K50,'Tabelas e Instruções'!$B$10))</f>
        <v/>
      </c>
      <c r="M50" s="44">
        <f>IF(I50="","",MAX(0,I50-L50))</f>
        <v/>
      </c>
      <c r="N50" s="62">
        <f>IF(M50="","",IFERROR(VLOOKUP(M50,'Tabelas e Instruções'!$D$6:$F$10,2,TRUE),0))</f>
        <v/>
      </c>
      <c r="O50" s="44">
        <f>IF(M50="","",IFERROR(VLOOKUP(M50,'Tabelas e Instruções'!$D$6:$F$10,3,TRUE),0))</f>
        <v/>
      </c>
      <c r="P50" s="44">
        <f>IF(M50="","",MAX(0,(M50*N50)-O50))</f>
        <v/>
      </c>
      <c r="Q50" s="62">
        <f>IF(H50="","",IFERROR(VLOOKUP(H50,'Tabelas e Instruções'!$H$6:$I$11,2,FALSE),0))</f>
        <v/>
      </c>
      <c r="R50" s="44">
        <f>IF(I50="","",IF(IFERROR(VLOOKUP(H50,'Tabelas e Instruções'!$H$6:$J$11,3,FALSE),"Não")="Sim",I50*Q50,0))</f>
        <v/>
      </c>
      <c r="S50" s="43" t="n"/>
      <c r="T50" s="44">
        <f>IF(I50="","",I50-L50-P50-R50-IF(S50="",0,S50))</f>
        <v/>
      </c>
      <c r="U50" s="60" t="n"/>
      <c r="V50" s="12">
        <f>IF(B50="","",IF(U50&lt;&gt;"","Pago",IF(B50&lt;TODAY(),"Atrasado","Pendente")))</f>
        <v/>
      </c>
      <c r="W50" s="7" t="n"/>
      <c r="X50" s="7" t="n"/>
    </row>
    <row r="51">
      <c r="A51" s="4" t="n"/>
      <c r="B51" s="60" t="n"/>
      <c r="C51" s="61">
        <f>IF(B51="","",DATE(YEAR(B51),MONTH(B51),1))</f>
        <v/>
      </c>
      <c r="D51" s="7" t="n"/>
      <c r="E51" s="8" t="n"/>
      <c r="F51" s="4" t="n"/>
      <c r="G51" s="7" t="n"/>
      <c r="H51" s="7" t="n"/>
      <c r="I51" s="43" t="n"/>
      <c r="J51" s="44">
        <f>IF(I51="","",I51)</f>
        <v/>
      </c>
      <c r="K51" s="62">
        <f>IF(I51="","",IFERROR(VLOOKUP('Tabelas e Instruções'!$A$6,'Tabelas e Instruções'!$A$6:$B$8,2,FALSE),0))</f>
        <v/>
      </c>
      <c r="L51" s="44">
        <f>IF(J51="","",MIN(J51*K51,'Tabelas e Instruções'!$B$10))</f>
        <v/>
      </c>
      <c r="M51" s="44">
        <f>IF(I51="","",MAX(0,I51-L51))</f>
        <v/>
      </c>
      <c r="N51" s="62">
        <f>IF(M51="","",IFERROR(VLOOKUP(M51,'Tabelas e Instruções'!$D$6:$F$10,2,TRUE),0))</f>
        <v/>
      </c>
      <c r="O51" s="44">
        <f>IF(M51="","",IFERROR(VLOOKUP(M51,'Tabelas e Instruções'!$D$6:$F$10,3,TRUE),0))</f>
        <v/>
      </c>
      <c r="P51" s="44">
        <f>IF(M51="","",MAX(0,(M51*N51)-O51))</f>
        <v/>
      </c>
      <c r="Q51" s="62">
        <f>IF(H51="","",IFERROR(VLOOKUP(H51,'Tabelas e Instruções'!$H$6:$I$11,2,FALSE),0))</f>
        <v/>
      </c>
      <c r="R51" s="44">
        <f>IF(I51="","",IF(IFERROR(VLOOKUP(H51,'Tabelas e Instruções'!$H$6:$J$11,3,FALSE),"Não")="Sim",I51*Q51,0))</f>
        <v/>
      </c>
      <c r="S51" s="43" t="n"/>
      <c r="T51" s="44">
        <f>IF(I51="","",I51-L51-P51-R51-IF(S51="",0,S51))</f>
        <v/>
      </c>
      <c r="U51" s="60" t="n"/>
      <c r="V51" s="12">
        <f>IF(B51="","",IF(U51&lt;&gt;"","Pago",IF(B51&lt;TODAY(),"Atrasado","Pendente")))</f>
        <v/>
      </c>
      <c r="W51" s="7" t="n"/>
      <c r="X51" s="7" t="n"/>
    </row>
    <row r="52">
      <c r="A52" s="4" t="n"/>
      <c r="B52" s="60" t="n"/>
      <c r="C52" s="61">
        <f>IF(B52="","",DATE(YEAR(B52),MONTH(B52),1))</f>
        <v/>
      </c>
      <c r="D52" s="7" t="n"/>
      <c r="E52" s="8" t="n"/>
      <c r="F52" s="4" t="n"/>
      <c r="G52" s="7" t="n"/>
      <c r="H52" s="7" t="n"/>
      <c r="I52" s="43" t="n"/>
      <c r="J52" s="44">
        <f>IF(I52="","",I52)</f>
        <v/>
      </c>
      <c r="K52" s="62">
        <f>IF(I52="","",IFERROR(VLOOKUP('Tabelas e Instruções'!$A$6,'Tabelas e Instruções'!$A$6:$B$8,2,FALSE),0))</f>
        <v/>
      </c>
      <c r="L52" s="44">
        <f>IF(J52="","",MIN(J52*K52,'Tabelas e Instruções'!$B$10))</f>
        <v/>
      </c>
      <c r="M52" s="44">
        <f>IF(I52="","",MAX(0,I52-L52))</f>
        <v/>
      </c>
      <c r="N52" s="62">
        <f>IF(M52="","",IFERROR(VLOOKUP(M52,'Tabelas e Instruções'!$D$6:$F$10,2,TRUE),0))</f>
        <v/>
      </c>
      <c r="O52" s="44">
        <f>IF(M52="","",IFERROR(VLOOKUP(M52,'Tabelas e Instruções'!$D$6:$F$10,3,TRUE),0))</f>
        <v/>
      </c>
      <c r="P52" s="44">
        <f>IF(M52="","",MAX(0,(M52*N52)-O52))</f>
        <v/>
      </c>
      <c r="Q52" s="62">
        <f>IF(H52="","",IFERROR(VLOOKUP(H52,'Tabelas e Instruções'!$H$6:$I$11,2,FALSE),0))</f>
        <v/>
      </c>
      <c r="R52" s="44">
        <f>IF(I52="","",IF(IFERROR(VLOOKUP(H52,'Tabelas e Instruções'!$H$6:$J$11,3,FALSE),"Não")="Sim",I52*Q52,0))</f>
        <v/>
      </c>
      <c r="S52" s="43" t="n"/>
      <c r="T52" s="44">
        <f>IF(I52="","",I52-L52-P52-R52-IF(S52="",0,S52))</f>
        <v/>
      </c>
      <c r="U52" s="60" t="n"/>
      <c r="V52" s="12">
        <f>IF(B52="","",IF(U52&lt;&gt;"","Pago",IF(B52&lt;TODAY(),"Atrasado","Pendente")))</f>
        <v/>
      </c>
      <c r="W52" s="7" t="n"/>
      <c r="X52" s="7" t="n"/>
    </row>
    <row r="53">
      <c r="A53" s="4" t="n"/>
      <c r="B53" s="60" t="n"/>
      <c r="C53" s="61">
        <f>IF(B53="","",DATE(YEAR(B53),MONTH(B53),1))</f>
        <v/>
      </c>
      <c r="D53" s="7" t="n"/>
      <c r="E53" s="8" t="n"/>
      <c r="F53" s="4" t="n"/>
      <c r="G53" s="7" t="n"/>
      <c r="H53" s="7" t="n"/>
      <c r="I53" s="43" t="n"/>
      <c r="J53" s="44">
        <f>IF(I53="","",I53)</f>
        <v/>
      </c>
      <c r="K53" s="62">
        <f>IF(I53="","",IFERROR(VLOOKUP('Tabelas e Instruções'!$A$6,'Tabelas e Instruções'!$A$6:$B$8,2,FALSE),0))</f>
        <v/>
      </c>
      <c r="L53" s="44">
        <f>IF(J53="","",MIN(J53*K53,'Tabelas e Instruções'!$B$10))</f>
        <v/>
      </c>
      <c r="M53" s="44">
        <f>IF(I53="","",MAX(0,I53-L53))</f>
        <v/>
      </c>
      <c r="N53" s="62">
        <f>IF(M53="","",IFERROR(VLOOKUP(M53,'Tabelas e Instruções'!$D$6:$F$10,2,TRUE),0))</f>
        <v/>
      </c>
      <c r="O53" s="44">
        <f>IF(M53="","",IFERROR(VLOOKUP(M53,'Tabelas e Instruções'!$D$6:$F$10,3,TRUE),0))</f>
        <v/>
      </c>
      <c r="P53" s="44">
        <f>IF(M53="","",MAX(0,(M53*N53)-O53))</f>
        <v/>
      </c>
      <c r="Q53" s="62">
        <f>IF(H53="","",IFERROR(VLOOKUP(H53,'Tabelas e Instruções'!$H$6:$I$11,2,FALSE),0))</f>
        <v/>
      </c>
      <c r="R53" s="44">
        <f>IF(I53="","",IF(IFERROR(VLOOKUP(H53,'Tabelas e Instruções'!$H$6:$J$11,3,FALSE),"Não")="Sim",I53*Q53,0))</f>
        <v/>
      </c>
      <c r="S53" s="43" t="n"/>
      <c r="T53" s="44">
        <f>IF(I53="","",I53-L53-P53-R53-IF(S53="",0,S53))</f>
        <v/>
      </c>
      <c r="U53" s="60" t="n"/>
      <c r="V53" s="12">
        <f>IF(B53="","",IF(U53&lt;&gt;"","Pago",IF(B53&lt;TODAY(),"Atrasado","Pendente")))</f>
        <v/>
      </c>
      <c r="W53" s="7" t="n"/>
      <c r="X53" s="7" t="n"/>
    </row>
    <row r="54">
      <c r="A54" s="4" t="n"/>
      <c r="B54" s="60" t="n"/>
      <c r="C54" s="61">
        <f>IF(B54="","",DATE(YEAR(B54),MONTH(B54),1))</f>
        <v/>
      </c>
      <c r="D54" s="7" t="n"/>
      <c r="E54" s="8" t="n"/>
      <c r="F54" s="4" t="n"/>
      <c r="G54" s="7" t="n"/>
      <c r="H54" s="7" t="n"/>
      <c r="I54" s="43" t="n"/>
      <c r="J54" s="44">
        <f>IF(I54="","",I54)</f>
        <v/>
      </c>
      <c r="K54" s="62">
        <f>IF(I54="","",IFERROR(VLOOKUP('Tabelas e Instruções'!$A$6,'Tabelas e Instruções'!$A$6:$B$8,2,FALSE),0))</f>
        <v/>
      </c>
      <c r="L54" s="44">
        <f>IF(J54="","",MIN(J54*K54,'Tabelas e Instruções'!$B$10))</f>
        <v/>
      </c>
      <c r="M54" s="44">
        <f>IF(I54="","",MAX(0,I54-L54))</f>
        <v/>
      </c>
      <c r="N54" s="62">
        <f>IF(M54="","",IFERROR(VLOOKUP(M54,'Tabelas e Instruções'!$D$6:$F$10,2,TRUE),0))</f>
        <v/>
      </c>
      <c r="O54" s="44">
        <f>IF(M54="","",IFERROR(VLOOKUP(M54,'Tabelas e Instruções'!$D$6:$F$10,3,TRUE),0))</f>
        <v/>
      </c>
      <c r="P54" s="44">
        <f>IF(M54="","",MAX(0,(M54*N54)-O54))</f>
        <v/>
      </c>
      <c r="Q54" s="62">
        <f>IF(H54="","",IFERROR(VLOOKUP(H54,'Tabelas e Instruções'!$H$6:$I$11,2,FALSE),0))</f>
        <v/>
      </c>
      <c r="R54" s="44">
        <f>IF(I54="","",IF(IFERROR(VLOOKUP(H54,'Tabelas e Instruções'!$H$6:$J$11,3,FALSE),"Não")="Sim",I54*Q54,0))</f>
        <v/>
      </c>
      <c r="S54" s="43" t="n"/>
      <c r="T54" s="44">
        <f>IF(I54="","",I54-L54-P54-R54-IF(S54="",0,S54))</f>
        <v/>
      </c>
      <c r="U54" s="60" t="n"/>
      <c r="V54" s="12">
        <f>IF(B54="","",IF(U54&lt;&gt;"","Pago",IF(B54&lt;TODAY(),"Atrasado","Pendente")))</f>
        <v/>
      </c>
      <c r="W54" s="7" t="n"/>
      <c r="X54" s="7" t="n"/>
    </row>
    <row r="55">
      <c r="A55" s="4" t="n"/>
      <c r="B55" s="60" t="n"/>
      <c r="C55" s="61">
        <f>IF(B55="","",DATE(YEAR(B55),MONTH(B55),1))</f>
        <v/>
      </c>
      <c r="D55" s="7" t="n"/>
      <c r="E55" s="8" t="n"/>
      <c r="F55" s="4" t="n"/>
      <c r="G55" s="7" t="n"/>
      <c r="H55" s="7" t="n"/>
      <c r="I55" s="43" t="n"/>
      <c r="J55" s="44">
        <f>IF(I55="","",I55)</f>
        <v/>
      </c>
      <c r="K55" s="62">
        <f>IF(I55="","",IFERROR(VLOOKUP('Tabelas e Instruções'!$A$6,'Tabelas e Instruções'!$A$6:$B$8,2,FALSE),0))</f>
        <v/>
      </c>
      <c r="L55" s="44">
        <f>IF(J55="","",MIN(J55*K55,'Tabelas e Instruções'!$B$10))</f>
        <v/>
      </c>
      <c r="M55" s="44">
        <f>IF(I55="","",MAX(0,I55-L55))</f>
        <v/>
      </c>
      <c r="N55" s="62">
        <f>IF(M55="","",IFERROR(VLOOKUP(M55,'Tabelas e Instruções'!$D$6:$F$10,2,TRUE),0))</f>
        <v/>
      </c>
      <c r="O55" s="44">
        <f>IF(M55="","",IFERROR(VLOOKUP(M55,'Tabelas e Instruções'!$D$6:$F$10,3,TRUE),0))</f>
        <v/>
      </c>
      <c r="P55" s="44">
        <f>IF(M55="","",MAX(0,(M55*N55)-O55))</f>
        <v/>
      </c>
      <c r="Q55" s="62">
        <f>IF(H55="","",IFERROR(VLOOKUP(H55,'Tabelas e Instruções'!$H$6:$I$11,2,FALSE),0))</f>
        <v/>
      </c>
      <c r="R55" s="44">
        <f>IF(I55="","",IF(IFERROR(VLOOKUP(H55,'Tabelas e Instruções'!$H$6:$J$11,3,FALSE),"Não")="Sim",I55*Q55,0))</f>
        <v/>
      </c>
      <c r="S55" s="43" t="n"/>
      <c r="T55" s="44">
        <f>IF(I55="","",I55-L55-P55-R55-IF(S55="",0,S55))</f>
        <v/>
      </c>
      <c r="U55" s="60" t="n"/>
      <c r="V55" s="12">
        <f>IF(B55="","",IF(U55&lt;&gt;"","Pago",IF(B55&lt;TODAY(),"Atrasado","Pendente")))</f>
        <v/>
      </c>
      <c r="W55" s="7" t="n"/>
      <c r="X55" s="7" t="n"/>
    </row>
    <row r="56">
      <c r="A56" s="4" t="n"/>
      <c r="B56" s="60" t="n"/>
      <c r="C56" s="61">
        <f>IF(B56="","",DATE(YEAR(B56),MONTH(B56),1))</f>
        <v/>
      </c>
      <c r="D56" s="7" t="n"/>
      <c r="E56" s="8" t="n"/>
      <c r="F56" s="4" t="n"/>
      <c r="G56" s="7" t="n"/>
      <c r="H56" s="7" t="n"/>
      <c r="I56" s="43" t="n"/>
      <c r="J56" s="44">
        <f>IF(I56="","",I56)</f>
        <v/>
      </c>
      <c r="K56" s="62">
        <f>IF(I56="","",IFERROR(VLOOKUP('Tabelas e Instruções'!$A$6,'Tabelas e Instruções'!$A$6:$B$8,2,FALSE),0))</f>
        <v/>
      </c>
      <c r="L56" s="44">
        <f>IF(J56="","",MIN(J56*K56,'Tabelas e Instruções'!$B$10))</f>
        <v/>
      </c>
      <c r="M56" s="44">
        <f>IF(I56="","",MAX(0,I56-L56))</f>
        <v/>
      </c>
      <c r="N56" s="62">
        <f>IF(M56="","",IFERROR(VLOOKUP(M56,'Tabelas e Instruções'!$D$6:$F$10,2,TRUE),0))</f>
        <v/>
      </c>
      <c r="O56" s="44">
        <f>IF(M56="","",IFERROR(VLOOKUP(M56,'Tabelas e Instruções'!$D$6:$F$10,3,TRUE),0))</f>
        <v/>
      </c>
      <c r="P56" s="44">
        <f>IF(M56="","",MAX(0,(M56*N56)-O56))</f>
        <v/>
      </c>
      <c r="Q56" s="62">
        <f>IF(H56="","",IFERROR(VLOOKUP(H56,'Tabelas e Instruções'!$H$6:$I$11,2,FALSE),0))</f>
        <v/>
      </c>
      <c r="R56" s="44">
        <f>IF(I56="","",IF(IFERROR(VLOOKUP(H56,'Tabelas e Instruções'!$H$6:$J$11,3,FALSE),"Não")="Sim",I56*Q56,0))</f>
        <v/>
      </c>
      <c r="S56" s="43" t="n"/>
      <c r="T56" s="44">
        <f>IF(I56="","",I56-L56-P56-R56-IF(S56="",0,S56))</f>
        <v/>
      </c>
      <c r="U56" s="60" t="n"/>
      <c r="V56" s="12">
        <f>IF(B56="","",IF(U56&lt;&gt;"","Pago",IF(B56&lt;TODAY(),"Atrasado","Pendente")))</f>
        <v/>
      </c>
      <c r="W56" s="7" t="n"/>
      <c r="X56" s="7" t="n"/>
    </row>
    <row r="57">
      <c r="A57" s="4" t="n"/>
      <c r="B57" s="60" t="n"/>
      <c r="C57" s="61">
        <f>IF(B57="","",DATE(YEAR(B57),MONTH(B57),1))</f>
        <v/>
      </c>
      <c r="D57" s="7" t="n"/>
      <c r="E57" s="8" t="n"/>
      <c r="F57" s="4" t="n"/>
      <c r="G57" s="7" t="n"/>
      <c r="H57" s="7" t="n"/>
      <c r="I57" s="43" t="n"/>
      <c r="J57" s="44">
        <f>IF(I57="","",I57)</f>
        <v/>
      </c>
      <c r="K57" s="62">
        <f>IF(I57="","",IFERROR(VLOOKUP('Tabelas e Instruções'!$A$6,'Tabelas e Instruções'!$A$6:$B$8,2,FALSE),0))</f>
        <v/>
      </c>
      <c r="L57" s="44">
        <f>IF(J57="","",MIN(J57*K57,'Tabelas e Instruções'!$B$10))</f>
        <v/>
      </c>
      <c r="M57" s="44">
        <f>IF(I57="","",MAX(0,I57-L57))</f>
        <v/>
      </c>
      <c r="N57" s="62">
        <f>IF(M57="","",IFERROR(VLOOKUP(M57,'Tabelas e Instruções'!$D$6:$F$10,2,TRUE),0))</f>
        <v/>
      </c>
      <c r="O57" s="44">
        <f>IF(M57="","",IFERROR(VLOOKUP(M57,'Tabelas e Instruções'!$D$6:$F$10,3,TRUE),0))</f>
        <v/>
      </c>
      <c r="P57" s="44">
        <f>IF(M57="","",MAX(0,(M57*N57)-O57))</f>
        <v/>
      </c>
      <c r="Q57" s="62">
        <f>IF(H57="","",IFERROR(VLOOKUP(H57,'Tabelas e Instruções'!$H$6:$I$11,2,FALSE),0))</f>
        <v/>
      </c>
      <c r="R57" s="44">
        <f>IF(I57="","",IF(IFERROR(VLOOKUP(H57,'Tabelas e Instruções'!$H$6:$J$11,3,FALSE),"Não")="Sim",I57*Q57,0))</f>
        <v/>
      </c>
      <c r="S57" s="43" t="n"/>
      <c r="T57" s="44">
        <f>IF(I57="","",I57-L57-P57-R57-IF(S57="",0,S57))</f>
        <v/>
      </c>
      <c r="U57" s="60" t="n"/>
      <c r="V57" s="12">
        <f>IF(B57="","",IF(U57&lt;&gt;"","Pago",IF(B57&lt;TODAY(),"Atrasado","Pendente")))</f>
        <v/>
      </c>
      <c r="W57" s="7" t="n"/>
      <c r="X57" s="7" t="n"/>
    </row>
    <row r="58">
      <c r="A58" s="4" t="n"/>
      <c r="B58" s="60" t="n"/>
      <c r="C58" s="61">
        <f>IF(B58="","",DATE(YEAR(B58),MONTH(B58),1))</f>
        <v/>
      </c>
      <c r="D58" s="7" t="n"/>
      <c r="E58" s="8" t="n"/>
      <c r="F58" s="4" t="n"/>
      <c r="G58" s="7" t="n"/>
      <c r="H58" s="7" t="n"/>
      <c r="I58" s="43" t="n"/>
      <c r="J58" s="44">
        <f>IF(I58="","",I58)</f>
        <v/>
      </c>
      <c r="K58" s="62">
        <f>IF(I58="","",IFERROR(VLOOKUP('Tabelas e Instruções'!$A$6,'Tabelas e Instruções'!$A$6:$B$8,2,FALSE),0))</f>
        <v/>
      </c>
      <c r="L58" s="44">
        <f>IF(J58="","",MIN(J58*K58,'Tabelas e Instruções'!$B$10))</f>
        <v/>
      </c>
      <c r="M58" s="44">
        <f>IF(I58="","",MAX(0,I58-L58))</f>
        <v/>
      </c>
      <c r="N58" s="62">
        <f>IF(M58="","",IFERROR(VLOOKUP(M58,'Tabelas e Instruções'!$D$6:$F$10,2,TRUE),0))</f>
        <v/>
      </c>
      <c r="O58" s="44">
        <f>IF(M58="","",IFERROR(VLOOKUP(M58,'Tabelas e Instruções'!$D$6:$F$10,3,TRUE),0))</f>
        <v/>
      </c>
      <c r="P58" s="44">
        <f>IF(M58="","",MAX(0,(M58*N58)-O58))</f>
        <v/>
      </c>
      <c r="Q58" s="62">
        <f>IF(H58="","",IFERROR(VLOOKUP(H58,'Tabelas e Instruções'!$H$6:$I$11,2,FALSE),0))</f>
        <v/>
      </c>
      <c r="R58" s="44">
        <f>IF(I58="","",IF(IFERROR(VLOOKUP(H58,'Tabelas e Instruções'!$H$6:$J$11,3,FALSE),"Não")="Sim",I58*Q58,0))</f>
        <v/>
      </c>
      <c r="S58" s="43" t="n"/>
      <c r="T58" s="44">
        <f>IF(I58="","",I58-L58-P58-R58-IF(S58="",0,S58))</f>
        <v/>
      </c>
      <c r="U58" s="60" t="n"/>
      <c r="V58" s="12">
        <f>IF(B58="","",IF(U58&lt;&gt;"","Pago",IF(B58&lt;TODAY(),"Atrasado","Pendente")))</f>
        <v/>
      </c>
      <c r="W58" s="7" t="n"/>
      <c r="X58" s="7" t="n"/>
    </row>
    <row r="59">
      <c r="A59" s="4" t="n"/>
      <c r="B59" s="60" t="n"/>
      <c r="C59" s="61">
        <f>IF(B59="","",DATE(YEAR(B59),MONTH(B59),1))</f>
        <v/>
      </c>
      <c r="D59" s="7" t="n"/>
      <c r="E59" s="8" t="n"/>
      <c r="F59" s="4" t="n"/>
      <c r="G59" s="7" t="n"/>
      <c r="H59" s="7" t="n"/>
      <c r="I59" s="43" t="n"/>
      <c r="J59" s="44">
        <f>IF(I59="","",I59)</f>
        <v/>
      </c>
      <c r="K59" s="62">
        <f>IF(I59="","",IFERROR(VLOOKUP('Tabelas e Instruções'!$A$6,'Tabelas e Instruções'!$A$6:$B$8,2,FALSE),0))</f>
        <v/>
      </c>
      <c r="L59" s="44">
        <f>IF(J59="","",MIN(J59*K59,'Tabelas e Instruções'!$B$10))</f>
        <v/>
      </c>
      <c r="M59" s="44">
        <f>IF(I59="","",MAX(0,I59-L59))</f>
        <v/>
      </c>
      <c r="N59" s="62">
        <f>IF(M59="","",IFERROR(VLOOKUP(M59,'Tabelas e Instruções'!$D$6:$F$10,2,TRUE),0))</f>
        <v/>
      </c>
      <c r="O59" s="44">
        <f>IF(M59="","",IFERROR(VLOOKUP(M59,'Tabelas e Instruções'!$D$6:$F$10,3,TRUE),0))</f>
        <v/>
      </c>
      <c r="P59" s="44">
        <f>IF(M59="","",MAX(0,(M59*N59)-O59))</f>
        <v/>
      </c>
      <c r="Q59" s="62">
        <f>IF(H59="","",IFERROR(VLOOKUP(H59,'Tabelas e Instruções'!$H$6:$I$11,2,FALSE),0))</f>
        <v/>
      </c>
      <c r="R59" s="44">
        <f>IF(I59="","",IF(IFERROR(VLOOKUP(H59,'Tabelas e Instruções'!$H$6:$J$11,3,FALSE),"Não")="Sim",I59*Q59,0))</f>
        <v/>
      </c>
      <c r="S59" s="43" t="n"/>
      <c r="T59" s="44">
        <f>IF(I59="","",I59-L59-P59-R59-IF(S59="",0,S59))</f>
        <v/>
      </c>
      <c r="U59" s="60" t="n"/>
      <c r="V59" s="12">
        <f>IF(B59="","",IF(U59&lt;&gt;"","Pago",IF(B59&lt;TODAY(),"Atrasado","Pendente")))</f>
        <v/>
      </c>
      <c r="W59" s="7" t="n"/>
      <c r="X59" s="7" t="n"/>
    </row>
    <row r="60">
      <c r="A60" s="4" t="n"/>
      <c r="B60" s="60" t="n"/>
      <c r="C60" s="61">
        <f>IF(B60="","",DATE(YEAR(B60),MONTH(B60),1))</f>
        <v/>
      </c>
      <c r="D60" s="7" t="n"/>
      <c r="E60" s="8" t="n"/>
      <c r="F60" s="4" t="n"/>
      <c r="G60" s="7" t="n"/>
      <c r="H60" s="7" t="n"/>
      <c r="I60" s="43" t="n"/>
      <c r="J60" s="44">
        <f>IF(I60="","",I60)</f>
        <v/>
      </c>
      <c r="K60" s="62">
        <f>IF(I60="","",IFERROR(VLOOKUP('Tabelas e Instruções'!$A$6,'Tabelas e Instruções'!$A$6:$B$8,2,FALSE),0))</f>
        <v/>
      </c>
      <c r="L60" s="44">
        <f>IF(J60="","",MIN(J60*K60,'Tabelas e Instruções'!$B$10))</f>
        <v/>
      </c>
      <c r="M60" s="44">
        <f>IF(I60="","",MAX(0,I60-L60))</f>
        <v/>
      </c>
      <c r="N60" s="62">
        <f>IF(M60="","",IFERROR(VLOOKUP(M60,'Tabelas e Instruções'!$D$6:$F$10,2,TRUE),0))</f>
        <v/>
      </c>
      <c r="O60" s="44">
        <f>IF(M60="","",IFERROR(VLOOKUP(M60,'Tabelas e Instruções'!$D$6:$F$10,3,TRUE),0))</f>
        <v/>
      </c>
      <c r="P60" s="44">
        <f>IF(M60="","",MAX(0,(M60*N60)-O60))</f>
        <v/>
      </c>
      <c r="Q60" s="62">
        <f>IF(H60="","",IFERROR(VLOOKUP(H60,'Tabelas e Instruções'!$H$6:$I$11,2,FALSE),0))</f>
        <v/>
      </c>
      <c r="R60" s="44">
        <f>IF(I60="","",IF(IFERROR(VLOOKUP(H60,'Tabelas e Instruções'!$H$6:$J$11,3,FALSE),"Não")="Sim",I60*Q60,0))</f>
        <v/>
      </c>
      <c r="S60" s="43" t="n"/>
      <c r="T60" s="44">
        <f>IF(I60="","",I60-L60-P60-R60-IF(S60="",0,S60))</f>
        <v/>
      </c>
      <c r="U60" s="60" t="n"/>
      <c r="V60" s="12">
        <f>IF(B60="","",IF(U60&lt;&gt;"","Pago",IF(B60&lt;TODAY(),"Atrasado","Pendente")))</f>
        <v/>
      </c>
      <c r="W60" s="7" t="n"/>
      <c r="X60" s="7" t="n"/>
    </row>
    <row r="61">
      <c r="A61" s="4" t="n"/>
      <c r="B61" s="60" t="n"/>
      <c r="C61" s="61">
        <f>IF(B61="","",DATE(YEAR(B61),MONTH(B61),1))</f>
        <v/>
      </c>
      <c r="D61" s="7" t="n"/>
      <c r="E61" s="8" t="n"/>
      <c r="F61" s="4" t="n"/>
      <c r="G61" s="7" t="n"/>
      <c r="H61" s="7" t="n"/>
      <c r="I61" s="43" t="n"/>
      <c r="J61" s="44">
        <f>IF(I61="","",I61)</f>
        <v/>
      </c>
      <c r="K61" s="62">
        <f>IF(I61="","",IFERROR(VLOOKUP('Tabelas e Instruções'!$A$6,'Tabelas e Instruções'!$A$6:$B$8,2,FALSE),0))</f>
        <v/>
      </c>
      <c r="L61" s="44">
        <f>IF(J61="","",MIN(J61*K61,'Tabelas e Instruções'!$B$10))</f>
        <v/>
      </c>
      <c r="M61" s="44">
        <f>IF(I61="","",MAX(0,I61-L61))</f>
        <v/>
      </c>
      <c r="N61" s="62">
        <f>IF(M61="","",IFERROR(VLOOKUP(M61,'Tabelas e Instruções'!$D$6:$F$10,2,TRUE),0))</f>
        <v/>
      </c>
      <c r="O61" s="44">
        <f>IF(M61="","",IFERROR(VLOOKUP(M61,'Tabelas e Instruções'!$D$6:$F$10,3,TRUE),0))</f>
        <v/>
      </c>
      <c r="P61" s="44">
        <f>IF(M61="","",MAX(0,(M61*N61)-O61))</f>
        <v/>
      </c>
      <c r="Q61" s="62">
        <f>IF(H61="","",IFERROR(VLOOKUP(H61,'Tabelas e Instruções'!$H$6:$I$11,2,FALSE),0))</f>
        <v/>
      </c>
      <c r="R61" s="44">
        <f>IF(I61="","",IF(IFERROR(VLOOKUP(H61,'Tabelas e Instruções'!$H$6:$J$11,3,FALSE),"Não")="Sim",I61*Q61,0))</f>
        <v/>
      </c>
      <c r="S61" s="43" t="n"/>
      <c r="T61" s="44">
        <f>IF(I61="","",I61-L61-P61-R61-IF(S61="",0,S61))</f>
        <v/>
      </c>
      <c r="U61" s="60" t="n"/>
      <c r="V61" s="12">
        <f>IF(B61="","",IF(U61&lt;&gt;"","Pago",IF(B61&lt;TODAY(),"Atrasado","Pendente")))</f>
        <v/>
      </c>
      <c r="W61" s="7" t="n"/>
      <c r="X61" s="7" t="n"/>
    </row>
    <row r="62">
      <c r="A62" s="4" t="n"/>
      <c r="B62" s="60" t="n"/>
      <c r="C62" s="61">
        <f>IF(B62="","",DATE(YEAR(B62),MONTH(B62),1))</f>
        <v/>
      </c>
      <c r="D62" s="7" t="n"/>
      <c r="E62" s="8" t="n"/>
      <c r="F62" s="4" t="n"/>
      <c r="G62" s="7" t="n"/>
      <c r="H62" s="7" t="n"/>
      <c r="I62" s="43" t="n"/>
      <c r="J62" s="44">
        <f>IF(I62="","",I62)</f>
        <v/>
      </c>
      <c r="K62" s="62">
        <f>IF(I62="","",IFERROR(VLOOKUP('Tabelas e Instruções'!$A$6,'Tabelas e Instruções'!$A$6:$B$8,2,FALSE),0))</f>
        <v/>
      </c>
      <c r="L62" s="44">
        <f>IF(J62="","",MIN(J62*K62,'Tabelas e Instruções'!$B$10))</f>
        <v/>
      </c>
      <c r="M62" s="44">
        <f>IF(I62="","",MAX(0,I62-L62))</f>
        <v/>
      </c>
      <c r="N62" s="62">
        <f>IF(M62="","",IFERROR(VLOOKUP(M62,'Tabelas e Instruções'!$D$6:$F$10,2,TRUE),0))</f>
        <v/>
      </c>
      <c r="O62" s="44">
        <f>IF(M62="","",IFERROR(VLOOKUP(M62,'Tabelas e Instruções'!$D$6:$F$10,3,TRUE),0))</f>
        <v/>
      </c>
      <c r="P62" s="44">
        <f>IF(M62="","",MAX(0,(M62*N62)-O62))</f>
        <v/>
      </c>
      <c r="Q62" s="62">
        <f>IF(H62="","",IFERROR(VLOOKUP(H62,'Tabelas e Instruções'!$H$6:$I$11,2,FALSE),0))</f>
        <v/>
      </c>
      <c r="R62" s="44">
        <f>IF(I62="","",IF(IFERROR(VLOOKUP(H62,'Tabelas e Instruções'!$H$6:$J$11,3,FALSE),"Não")="Sim",I62*Q62,0))</f>
        <v/>
      </c>
      <c r="S62" s="43" t="n"/>
      <c r="T62" s="44">
        <f>IF(I62="","",I62-L62-P62-R62-IF(S62="",0,S62))</f>
        <v/>
      </c>
      <c r="U62" s="60" t="n"/>
      <c r="V62" s="12">
        <f>IF(B62="","",IF(U62&lt;&gt;"","Pago",IF(B62&lt;TODAY(),"Atrasado","Pendente")))</f>
        <v/>
      </c>
      <c r="W62" s="7" t="n"/>
      <c r="X62" s="7" t="n"/>
    </row>
    <row r="63">
      <c r="A63" s="4" t="n"/>
      <c r="B63" s="60" t="n"/>
      <c r="C63" s="61">
        <f>IF(B63="","",DATE(YEAR(B63),MONTH(B63),1))</f>
        <v/>
      </c>
      <c r="D63" s="7" t="n"/>
      <c r="E63" s="8" t="n"/>
      <c r="F63" s="4" t="n"/>
      <c r="G63" s="7" t="n"/>
      <c r="H63" s="7" t="n"/>
      <c r="I63" s="43" t="n"/>
      <c r="J63" s="44">
        <f>IF(I63="","",I63)</f>
        <v/>
      </c>
      <c r="K63" s="62">
        <f>IF(I63="","",IFERROR(VLOOKUP('Tabelas e Instruções'!$A$6,'Tabelas e Instruções'!$A$6:$B$8,2,FALSE),0))</f>
        <v/>
      </c>
      <c r="L63" s="44">
        <f>IF(J63="","",MIN(J63*K63,'Tabelas e Instruções'!$B$10))</f>
        <v/>
      </c>
      <c r="M63" s="44">
        <f>IF(I63="","",MAX(0,I63-L63))</f>
        <v/>
      </c>
      <c r="N63" s="62">
        <f>IF(M63="","",IFERROR(VLOOKUP(M63,'Tabelas e Instruções'!$D$6:$F$10,2,TRUE),0))</f>
        <v/>
      </c>
      <c r="O63" s="44">
        <f>IF(M63="","",IFERROR(VLOOKUP(M63,'Tabelas e Instruções'!$D$6:$F$10,3,TRUE),0))</f>
        <v/>
      </c>
      <c r="P63" s="44">
        <f>IF(M63="","",MAX(0,(M63*N63)-O63))</f>
        <v/>
      </c>
      <c r="Q63" s="62">
        <f>IF(H63="","",IFERROR(VLOOKUP(H63,'Tabelas e Instruções'!$H$6:$I$11,2,FALSE),0))</f>
        <v/>
      </c>
      <c r="R63" s="44">
        <f>IF(I63="","",IF(IFERROR(VLOOKUP(H63,'Tabelas e Instruções'!$H$6:$J$11,3,FALSE),"Não")="Sim",I63*Q63,0))</f>
        <v/>
      </c>
      <c r="S63" s="43" t="n"/>
      <c r="T63" s="44">
        <f>IF(I63="","",I63-L63-P63-R63-IF(S63="",0,S63))</f>
        <v/>
      </c>
      <c r="U63" s="60" t="n"/>
      <c r="V63" s="12">
        <f>IF(B63="","",IF(U63&lt;&gt;"","Pago",IF(B63&lt;TODAY(),"Atrasado","Pendente")))</f>
        <v/>
      </c>
      <c r="W63" s="7" t="n"/>
      <c r="X63" s="7" t="n"/>
    </row>
    <row r="64">
      <c r="A64" s="4" t="n"/>
      <c r="B64" s="60" t="n"/>
      <c r="C64" s="61">
        <f>IF(B64="","",DATE(YEAR(B64),MONTH(B64),1))</f>
        <v/>
      </c>
      <c r="D64" s="7" t="n"/>
      <c r="E64" s="8" t="n"/>
      <c r="F64" s="4" t="n"/>
      <c r="G64" s="7" t="n"/>
      <c r="H64" s="7" t="n"/>
      <c r="I64" s="43" t="n"/>
      <c r="J64" s="44">
        <f>IF(I64="","",I64)</f>
        <v/>
      </c>
      <c r="K64" s="62">
        <f>IF(I64="","",IFERROR(VLOOKUP('Tabelas e Instruções'!$A$6,'Tabelas e Instruções'!$A$6:$B$8,2,FALSE),0))</f>
        <v/>
      </c>
      <c r="L64" s="44">
        <f>IF(J64="","",MIN(J64*K64,'Tabelas e Instruções'!$B$10))</f>
        <v/>
      </c>
      <c r="M64" s="44">
        <f>IF(I64="","",MAX(0,I64-L64))</f>
        <v/>
      </c>
      <c r="N64" s="62">
        <f>IF(M64="","",IFERROR(VLOOKUP(M64,'Tabelas e Instruções'!$D$6:$F$10,2,TRUE),0))</f>
        <v/>
      </c>
      <c r="O64" s="44">
        <f>IF(M64="","",IFERROR(VLOOKUP(M64,'Tabelas e Instruções'!$D$6:$F$10,3,TRUE),0))</f>
        <v/>
      </c>
      <c r="P64" s="44">
        <f>IF(M64="","",MAX(0,(M64*N64)-O64))</f>
        <v/>
      </c>
      <c r="Q64" s="62">
        <f>IF(H64="","",IFERROR(VLOOKUP(H64,'Tabelas e Instruções'!$H$6:$I$11,2,FALSE),0))</f>
        <v/>
      </c>
      <c r="R64" s="44">
        <f>IF(I64="","",IF(IFERROR(VLOOKUP(H64,'Tabelas e Instruções'!$H$6:$J$11,3,FALSE),"Não")="Sim",I64*Q64,0))</f>
        <v/>
      </c>
      <c r="S64" s="43" t="n"/>
      <c r="T64" s="44">
        <f>IF(I64="","",I64-L64-P64-R64-IF(S64="",0,S64))</f>
        <v/>
      </c>
      <c r="U64" s="60" t="n"/>
      <c r="V64" s="12">
        <f>IF(B64="","",IF(U64&lt;&gt;"","Pago",IF(B64&lt;TODAY(),"Atrasado","Pendente")))</f>
        <v/>
      </c>
      <c r="W64" s="7" t="n"/>
      <c r="X64" s="7" t="n"/>
    </row>
    <row r="65">
      <c r="A65" s="4" t="n"/>
      <c r="B65" s="60" t="n"/>
      <c r="C65" s="61">
        <f>IF(B65="","",DATE(YEAR(B65),MONTH(B65),1))</f>
        <v/>
      </c>
      <c r="D65" s="7" t="n"/>
      <c r="E65" s="8" t="n"/>
      <c r="F65" s="4" t="n"/>
      <c r="G65" s="7" t="n"/>
      <c r="H65" s="7" t="n"/>
      <c r="I65" s="43" t="n"/>
      <c r="J65" s="44">
        <f>IF(I65="","",I65)</f>
        <v/>
      </c>
      <c r="K65" s="62">
        <f>IF(I65="","",IFERROR(VLOOKUP('Tabelas e Instruções'!$A$6,'Tabelas e Instruções'!$A$6:$B$8,2,FALSE),0))</f>
        <v/>
      </c>
      <c r="L65" s="44">
        <f>IF(J65="","",MIN(J65*K65,'Tabelas e Instruções'!$B$10))</f>
        <v/>
      </c>
      <c r="M65" s="44">
        <f>IF(I65="","",MAX(0,I65-L65))</f>
        <v/>
      </c>
      <c r="N65" s="62">
        <f>IF(M65="","",IFERROR(VLOOKUP(M65,'Tabelas e Instruções'!$D$6:$F$10,2,TRUE),0))</f>
        <v/>
      </c>
      <c r="O65" s="44">
        <f>IF(M65="","",IFERROR(VLOOKUP(M65,'Tabelas e Instruções'!$D$6:$F$10,3,TRUE),0))</f>
        <v/>
      </c>
      <c r="P65" s="44">
        <f>IF(M65="","",MAX(0,(M65*N65)-O65))</f>
        <v/>
      </c>
      <c r="Q65" s="62">
        <f>IF(H65="","",IFERROR(VLOOKUP(H65,'Tabelas e Instruções'!$H$6:$I$11,2,FALSE),0))</f>
        <v/>
      </c>
      <c r="R65" s="44">
        <f>IF(I65="","",IF(IFERROR(VLOOKUP(H65,'Tabelas e Instruções'!$H$6:$J$11,3,FALSE),"Não")="Sim",I65*Q65,0))</f>
        <v/>
      </c>
      <c r="S65" s="43" t="n"/>
      <c r="T65" s="44">
        <f>IF(I65="","",I65-L65-P65-R65-IF(S65="",0,S65))</f>
        <v/>
      </c>
      <c r="U65" s="60" t="n"/>
      <c r="V65" s="12">
        <f>IF(B65="","",IF(U65&lt;&gt;"","Pago",IF(B65&lt;TODAY(),"Atrasado","Pendente")))</f>
        <v/>
      </c>
      <c r="W65" s="7" t="n"/>
      <c r="X65" s="7" t="n"/>
    </row>
    <row r="66">
      <c r="A66" s="4" t="n"/>
      <c r="B66" s="60" t="n"/>
      <c r="C66" s="61">
        <f>IF(B66="","",DATE(YEAR(B66),MONTH(B66),1))</f>
        <v/>
      </c>
      <c r="D66" s="7" t="n"/>
      <c r="E66" s="8" t="n"/>
      <c r="F66" s="4" t="n"/>
      <c r="G66" s="7" t="n"/>
      <c r="H66" s="7" t="n"/>
      <c r="I66" s="43" t="n"/>
      <c r="J66" s="44">
        <f>IF(I66="","",I66)</f>
        <v/>
      </c>
      <c r="K66" s="62">
        <f>IF(I66="","",IFERROR(VLOOKUP('Tabelas e Instruções'!$A$6,'Tabelas e Instruções'!$A$6:$B$8,2,FALSE),0))</f>
        <v/>
      </c>
      <c r="L66" s="44">
        <f>IF(J66="","",MIN(J66*K66,'Tabelas e Instruções'!$B$10))</f>
        <v/>
      </c>
      <c r="M66" s="44">
        <f>IF(I66="","",MAX(0,I66-L66))</f>
        <v/>
      </c>
      <c r="N66" s="62">
        <f>IF(M66="","",IFERROR(VLOOKUP(M66,'Tabelas e Instruções'!$D$6:$F$10,2,TRUE),0))</f>
        <v/>
      </c>
      <c r="O66" s="44">
        <f>IF(M66="","",IFERROR(VLOOKUP(M66,'Tabelas e Instruções'!$D$6:$F$10,3,TRUE),0))</f>
        <v/>
      </c>
      <c r="P66" s="44">
        <f>IF(M66="","",MAX(0,(M66*N66)-O66))</f>
        <v/>
      </c>
      <c r="Q66" s="62">
        <f>IF(H66="","",IFERROR(VLOOKUP(H66,'Tabelas e Instruções'!$H$6:$I$11,2,FALSE),0))</f>
        <v/>
      </c>
      <c r="R66" s="44">
        <f>IF(I66="","",IF(IFERROR(VLOOKUP(H66,'Tabelas e Instruções'!$H$6:$J$11,3,FALSE),"Não")="Sim",I66*Q66,0))</f>
        <v/>
      </c>
      <c r="S66" s="43" t="n"/>
      <c r="T66" s="44">
        <f>IF(I66="","",I66-L66-P66-R66-IF(S66="",0,S66))</f>
        <v/>
      </c>
      <c r="U66" s="60" t="n"/>
      <c r="V66" s="12">
        <f>IF(B66="","",IF(U66&lt;&gt;"","Pago",IF(B66&lt;TODAY(),"Atrasado","Pendente")))</f>
        <v/>
      </c>
      <c r="W66" s="7" t="n"/>
      <c r="X66" s="7" t="n"/>
    </row>
    <row r="67">
      <c r="A67" s="4" t="n"/>
      <c r="B67" s="60" t="n"/>
      <c r="C67" s="61">
        <f>IF(B67="","",DATE(YEAR(B67),MONTH(B67),1))</f>
        <v/>
      </c>
      <c r="D67" s="7" t="n"/>
      <c r="E67" s="8" t="n"/>
      <c r="F67" s="4" t="n"/>
      <c r="G67" s="7" t="n"/>
      <c r="H67" s="7" t="n"/>
      <c r="I67" s="43" t="n"/>
      <c r="J67" s="44">
        <f>IF(I67="","",I67)</f>
        <v/>
      </c>
      <c r="K67" s="62">
        <f>IF(I67="","",IFERROR(VLOOKUP('Tabelas e Instruções'!$A$6,'Tabelas e Instruções'!$A$6:$B$8,2,FALSE),0))</f>
        <v/>
      </c>
      <c r="L67" s="44">
        <f>IF(J67="","",MIN(J67*K67,'Tabelas e Instruções'!$B$10))</f>
        <v/>
      </c>
      <c r="M67" s="44">
        <f>IF(I67="","",MAX(0,I67-L67))</f>
        <v/>
      </c>
      <c r="N67" s="62">
        <f>IF(M67="","",IFERROR(VLOOKUP(M67,'Tabelas e Instruções'!$D$6:$F$10,2,TRUE),0))</f>
        <v/>
      </c>
      <c r="O67" s="44">
        <f>IF(M67="","",IFERROR(VLOOKUP(M67,'Tabelas e Instruções'!$D$6:$F$10,3,TRUE),0))</f>
        <v/>
      </c>
      <c r="P67" s="44">
        <f>IF(M67="","",MAX(0,(M67*N67)-O67))</f>
        <v/>
      </c>
      <c r="Q67" s="62">
        <f>IF(H67="","",IFERROR(VLOOKUP(H67,'Tabelas e Instruções'!$H$6:$I$11,2,FALSE),0))</f>
        <v/>
      </c>
      <c r="R67" s="44">
        <f>IF(I67="","",IF(IFERROR(VLOOKUP(H67,'Tabelas e Instruções'!$H$6:$J$11,3,FALSE),"Não")="Sim",I67*Q67,0))</f>
        <v/>
      </c>
      <c r="S67" s="43" t="n"/>
      <c r="T67" s="44">
        <f>IF(I67="","",I67-L67-P67-R67-IF(S67="",0,S67))</f>
        <v/>
      </c>
      <c r="U67" s="60" t="n"/>
      <c r="V67" s="12">
        <f>IF(B67="","",IF(U67&lt;&gt;"","Pago",IF(B67&lt;TODAY(),"Atrasado","Pendente")))</f>
        <v/>
      </c>
      <c r="W67" s="7" t="n"/>
      <c r="X67" s="7" t="n"/>
    </row>
    <row r="68">
      <c r="A68" s="4" t="n"/>
      <c r="B68" s="60" t="n"/>
      <c r="C68" s="61">
        <f>IF(B68="","",DATE(YEAR(B68),MONTH(B68),1))</f>
        <v/>
      </c>
      <c r="D68" s="7" t="n"/>
      <c r="E68" s="8" t="n"/>
      <c r="F68" s="4" t="n"/>
      <c r="G68" s="7" t="n"/>
      <c r="H68" s="7" t="n"/>
      <c r="I68" s="43" t="n"/>
      <c r="J68" s="44">
        <f>IF(I68="","",I68)</f>
        <v/>
      </c>
      <c r="K68" s="62">
        <f>IF(I68="","",IFERROR(VLOOKUP('Tabelas e Instruções'!$A$6,'Tabelas e Instruções'!$A$6:$B$8,2,FALSE),0))</f>
        <v/>
      </c>
      <c r="L68" s="44">
        <f>IF(J68="","",MIN(J68*K68,'Tabelas e Instruções'!$B$10))</f>
        <v/>
      </c>
      <c r="M68" s="44">
        <f>IF(I68="","",MAX(0,I68-L68))</f>
        <v/>
      </c>
      <c r="N68" s="62">
        <f>IF(M68="","",IFERROR(VLOOKUP(M68,'Tabelas e Instruções'!$D$6:$F$10,2,TRUE),0))</f>
        <v/>
      </c>
      <c r="O68" s="44">
        <f>IF(M68="","",IFERROR(VLOOKUP(M68,'Tabelas e Instruções'!$D$6:$F$10,3,TRUE),0))</f>
        <v/>
      </c>
      <c r="P68" s="44">
        <f>IF(M68="","",MAX(0,(M68*N68)-O68))</f>
        <v/>
      </c>
      <c r="Q68" s="62">
        <f>IF(H68="","",IFERROR(VLOOKUP(H68,'Tabelas e Instruções'!$H$6:$I$11,2,FALSE),0))</f>
        <v/>
      </c>
      <c r="R68" s="44">
        <f>IF(I68="","",IF(IFERROR(VLOOKUP(H68,'Tabelas e Instruções'!$H$6:$J$11,3,FALSE),"Não")="Sim",I68*Q68,0))</f>
        <v/>
      </c>
      <c r="S68" s="43" t="n"/>
      <c r="T68" s="44">
        <f>IF(I68="","",I68-L68-P68-R68-IF(S68="",0,S68))</f>
        <v/>
      </c>
      <c r="U68" s="60" t="n"/>
      <c r="V68" s="12">
        <f>IF(B68="","",IF(U68&lt;&gt;"","Pago",IF(B68&lt;TODAY(),"Atrasado","Pendente")))</f>
        <v/>
      </c>
      <c r="W68" s="7" t="n"/>
      <c r="X68" s="7" t="n"/>
    </row>
    <row r="69">
      <c r="A69" s="4" t="n"/>
      <c r="B69" s="60" t="n"/>
      <c r="C69" s="61">
        <f>IF(B69="","",DATE(YEAR(B69),MONTH(B69),1))</f>
        <v/>
      </c>
      <c r="D69" s="7" t="n"/>
      <c r="E69" s="8" t="n"/>
      <c r="F69" s="4" t="n"/>
      <c r="G69" s="7" t="n"/>
      <c r="H69" s="7" t="n"/>
      <c r="I69" s="43" t="n"/>
      <c r="J69" s="44">
        <f>IF(I69="","",I69)</f>
        <v/>
      </c>
      <c r="K69" s="62">
        <f>IF(I69="","",IFERROR(VLOOKUP('Tabelas e Instruções'!$A$6,'Tabelas e Instruções'!$A$6:$B$8,2,FALSE),0))</f>
        <v/>
      </c>
      <c r="L69" s="44">
        <f>IF(J69="","",MIN(J69*K69,'Tabelas e Instruções'!$B$10))</f>
        <v/>
      </c>
      <c r="M69" s="44">
        <f>IF(I69="","",MAX(0,I69-L69))</f>
        <v/>
      </c>
      <c r="N69" s="62">
        <f>IF(M69="","",IFERROR(VLOOKUP(M69,'Tabelas e Instruções'!$D$6:$F$10,2,TRUE),0))</f>
        <v/>
      </c>
      <c r="O69" s="44">
        <f>IF(M69="","",IFERROR(VLOOKUP(M69,'Tabelas e Instruções'!$D$6:$F$10,3,TRUE),0))</f>
        <v/>
      </c>
      <c r="P69" s="44">
        <f>IF(M69="","",MAX(0,(M69*N69)-O69))</f>
        <v/>
      </c>
      <c r="Q69" s="62">
        <f>IF(H69="","",IFERROR(VLOOKUP(H69,'Tabelas e Instruções'!$H$6:$I$11,2,FALSE),0))</f>
        <v/>
      </c>
      <c r="R69" s="44">
        <f>IF(I69="","",IF(IFERROR(VLOOKUP(H69,'Tabelas e Instruções'!$H$6:$J$11,3,FALSE),"Não")="Sim",I69*Q69,0))</f>
        <v/>
      </c>
      <c r="S69" s="43" t="n"/>
      <c r="T69" s="44">
        <f>IF(I69="","",I69-L69-P69-R69-IF(S69="",0,S69))</f>
        <v/>
      </c>
      <c r="U69" s="60" t="n"/>
      <c r="V69" s="12">
        <f>IF(B69="","",IF(U69&lt;&gt;"","Pago",IF(B69&lt;TODAY(),"Atrasado","Pendente")))</f>
        <v/>
      </c>
      <c r="W69" s="7" t="n"/>
      <c r="X69" s="7" t="n"/>
    </row>
    <row r="70">
      <c r="A70" s="4" t="n"/>
      <c r="B70" s="60" t="n"/>
      <c r="C70" s="61">
        <f>IF(B70="","",DATE(YEAR(B70),MONTH(B70),1))</f>
        <v/>
      </c>
      <c r="D70" s="7" t="n"/>
      <c r="E70" s="8" t="n"/>
      <c r="F70" s="4" t="n"/>
      <c r="G70" s="7" t="n"/>
      <c r="H70" s="7" t="n"/>
      <c r="I70" s="43" t="n"/>
      <c r="J70" s="44">
        <f>IF(I70="","",I70)</f>
        <v/>
      </c>
      <c r="K70" s="62">
        <f>IF(I70="","",IFERROR(VLOOKUP('Tabelas e Instruções'!$A$6,'Tabelas e Instruções'!$A$6:$B$8,2,FALSE),0))</f>
        <v/>
      </c>
      <c r="L70" s="44">
        <f>IF(J70="","",MIN(J70*K70,'Tabelas e Instruções'!$B$10))</f>
        <v/>
      </c>
      <c r="M70" s="44">
        <f>IF(I70="","",MAX(0,I70-L70))</f>
        <v/>
      </c>
      <c r="N70" s="62">
        <f>IF(M70="","",IFERROR(VLOOKUP(M70,'Tabelas e Instruções'!$D$6:$F$10,2,TRUE),0))</f>
        <v/>
      </c>
      <c r="O70" s="44">
        <f>IF(M70="","",IFERROR(VLOOKUP(M70,'Tabelas e Instruções'!$D$6:$F$10,3,TRUE),0))</f>
        <v/>
      </c>
      <c r="P70" s="44">
        <f>IF(M70="","",MAX(0,(M70*N70)-O70))</f>
        <v/>
      </c>
      <c r="Q70" s="62">
        <f>IF(H70="","",IFERROR(VLOOKUP(H70,'Tabelas e Instruções'!$H$6:$I$11,2,FALSE),0))</f>
        <v/>
      </c>
      <c r="R70" s="44">
        <f>IF(I70="","",IF(IFERROR(VLOOKUP(H70,'Tabelas e Instruções'!$H$6:$J$11,3,FALSE),"Não")="Sim",I70*Q70,0))</f>
        <v/>
      </c>
      <c r="S70" s="43" t="n"/>
      <c r="T70" s="44">
        <f>IF(I70="","",I70-L70-P70-R70-IF(S70="",0,S70))</f>
        <v/>
      </c>
      <c r="U70" s="60" t="n"/>
      <c r="V70" s="12">
        <f>IF(B70="","",IF(U70&lt;&gt;"","Pago",IF(B70&lt;TODAY(),"Atrasado","Pendente")))</f>
        <v/>
      </c>
      <c r="W70" s="7" t="n"/>
      <c r="X70" s="7" t="n"/>
    </row>
    <row r="71">
      <c r="A71" s="4" t="n"/>
      <c r="B71" s="60" t="n"/>
      <c r="C71" s="61">
        <f>IF(B71="","",DATE(YEAR(B71),MONTH(B71),1))</f>
        <v/>
      </c>
      <c r="D71" s="7" t="n"/>
      <c r="E71" s="8" t="n"/>
      <c r="F71" s="4" t="n"/>
      <c r="G71" s="7" t="n"/>
      <c r="H71" s="7" t="n"/>
      <c r="I71" s="43" t="n"/>
      <c r="J71" s="44">
        <f>IF(I71="","",I71)</f>
        <v/>
      </c>
      <c r="K71" s="62">
        <f>IF(I71="","",IFERROR(VLOOKUP('Tabelas e Instruções'!$A$6,'Tabelas e Instruções'!$A$6:$B$8,2,FALSE),0))</f>
        <v/>
      </c>
      <c r="L71" s="44">
        <f>IF(J71="","",MIN(J71*K71,'Tabelas e Instruções'!$B$10))</f>
        <v/>
      </c>
      <c r="M71" s="44">
        <f>IF(I71="","",MAX(0,I71-L71))</f>
        <v/>
      </c>
      <c r="N71" s="62">
        <f>IF(M71="","",IFERROR(VLOOKUP(M71,'Tabelas e Instruções'!$D$6:$F$10,2,TRUE),0))</f>
        <v/>
      </c>
      <c r="O71" s="44">
        <f>IF(M71="","",IFERROR(VLOOKUP(M71,'Tabelas e Instruções'!$D$6:$F$10,3,TRUE),0))</f>
        <v/>
      </c>
      <c r="P71" s="44">
        <f>IF(M71="","",MAX(0,(M71*N71)-O71))</f>
        <v/>
      </c>
      <c r="Q71" s="62">
        <f>IF(H71="","",IFERROR(VLOOKUP(H71,'Tabelas e Instruções'!$H$6:$I$11,2,FALSE),0))</f>
        <v/>
      </c>
      <c r="R71" s="44">
        <f>IF(I71="","",IF(IFERROR(VLOOKUP(H71,'Tabelas e Instruções'!$H$6:$J$11,3,FALSE),"Não")="Sim",I71*Q71,0))</f>
        <v/>
      </c>
      <c r="S71" s="43" t="n"/>
      <c r="T71" s="44">
        <f>IF(I71="","",I71-L71-P71-R71-IF(S71="",0,S71))</f>
        <v/>
      </c>
      <c r="U71" s="60" t="n"/>
      <c r="V71" s="12">
        <f>IF(B71="","",IF(U71&lt;&gt;"","Pago",IF(B71&lt;TODAY(),"Atrasado","Pendente")))</f>
        <v/>
      </c>
      <c r="W71" s="7" t="n"/>
      <c r="X71" s="7" t="n"/>
    </row>
    <row r="72">
      <c r="A72" s="4" t="n"/>
      <c r="B72" s="60" t="n"/>
      <c r="C72" s="61">
        <f>IF(B72="","",DATE(YEAR(B72),MONTH(B72),1))</f>
        <v/>
      </c>
      <c r="D72" s="7" t="n"/>
      <c r="E72" s="8" t="n"/>
      <c r="F72" s="4" t="n"/>
      <c r="G72" s="7" t="n"/>
      <c r="H72" s="7" t="n"/>
      <c r="I72" s="43" t="n"/>
      <c r="J72" s="44">
        <f>IF(I72="","",I72)</f>
        <v/>
      </c>
      <c r="K72" s="62">
        <f>IF(I72="","",IFERROR(VLOOKUP('Tabelas e Instruções'!$A$6,'Tabelas e Instruções'!$A$6:$B$8,2,FALSE),0))</f>
        <v/>
      </c>
      <c r="L72" s="44">
        <f>IF(J72="","",MIN(J72*K72,'Tabelas e Instruções'!$B$10))</f>
        <v/>
      </c>
      <c r="M72" s="44">
        <f>IF(I72="","",MAX(0,I72-L72))</f>
        <v/>
      </c>
      <c r="N72" s="62">
        <f>IF(M72="","",IFERROR(VLOOKUP(M72,'Tabelas e Instruções'!$D$6:$F$10,2,TRUE),0))</f>
        <v/>
      </c>
      <c r="O72" s="44">
        <f>IF(M72="","",IFERROR(VLOOKUP(M72,'Tabelas e Instruções'!$D$6:$F$10,3,TRUE),0))</f>
        <v/>
      </c>
      <c r="P72" s="44">
        <f>IF(M72="","",MAX(0,(M72*N72)-O72))</f>
        <v/>
      </c>
      <c r="Q72" s="62">
        <f>IF(H72="","",IFERROR(VLOOKUP(H72,'Tabelas e Instruções'!$H$6:$I$11,2,FALSE),0))</f>
        <v/>
      </c>
      <c r="R72" s="44">
        <f>IF(I72="","",IF(IFERROR(VLOOKUP(H72,'Tabelas e Instruções'!$H$6:$J$11,3,FALSE),"Não")="Sim",I72*Q72,0))</f>
        <v/>
      </c>
      <c r="S72" s="43" t="n"/>
      <c r="T72" s="44">
        <f>IF(I72="","",I72-L72-P72-R72-IF(S72="",0,S72))</f>
        <v/>
      </c>
      <c r="U72" s="60" t="n"/>
      <c r="V72" s="12">
        <f>IF(B72="","",IF(U72&lt;&gt;"","Pago",IF(B72&lt;TODAY(),"Atrasado","Pendente")))</f>
        <v/>
      </c>
      <c r="W72" s="7" t="n"/>
      <c r="X72" s="7" t="n"/>
    </row>
    <row r="73">
      <c r="A73" s="4" t="n"/>
      <c r="B73" s="60" t="n"/>
      <c r="C73" s="61">
        <f>IF(B73="","",DATE(YEAR(B73),MONTH(B73),1))</f>
        <v/>
      </c>
      <c r="D73" s="7" t="n"/>
      <c r="E73" s="8" t="n"/>
      <c r="F73" s="4" t="n"/>
      <c r="G73" s="7" t="n"/>
      <c r="H73" s="7" t="n"/>
      <c r="I73" s="43" t="n"/>
      <c r="J73" s="44">
        <f>IF(I73="","",I73)</f>
        <v/>
      </c>
      <c r="K73" s="62">
        <f>IF(I73="","",IFERROR(VLOOKUP('Tabelas e Instruções'!$A$6,'Tabelas e Instruções'!$A$6:$B$8,2,FALSE),0))</f>
        <v/>
      </c>
      <c r="L73" s="44">
        <f>IF(J73="","",MIN(J73*K73,'Tabelas e Instruções'!$B$10))</f>
        <v/>
      </c>
      <c r="M73" s="44">
        <f>IF(I73="","",MAX(0,I73-L73))</f>
        <v/>
      </c>
      <c r="N73" s="62">
        <f>IF(M73="","",IFERROR(VLOOKUP(M73,'Tabelas e Instruções'!$D$6:$F$10,2,TRUE),0))</f>
        <v/>
      </c>
      <c r="O73" s="44">
        <f>IF(M73="","",IFERROR(VLOOKUP(M73,'Tabelas e Instruções'!$D$6:$F$10,3,TRUE),0))</f>
        <v/>
      </c>
      <c r="P73" s="44">
        <f>IF(M73="","",MAX(0,(M73*N73)-O73))</f>
        <v/>
      </c>
      <c r="Q73" s="62">
        <f>IF(H73="","",IFERROR(VLOOKUP(H73,'Tabelas e Instruções'!$H$6:$I$11,2,FALSE),0))</f>
        <v/>
      </c>
      <c r="R73" s="44">
        <f>IF(I73="","",IF(IFERROR(VLOOKUP(H73,'Tabelas e Instruções'!$H$6:$J$11,3,FALSE),"Não")="Sim",I73*Q73,0))</f>
        <v/>
      </c>
      <c r="S73" s="43" t="n"/>
      <c r="T73" s="44">
        <f>IF(I73="","",I73-L73-P73-R73-IF(S73="",0,S73))</f>
        <v/>
      </c>
      <c r="U73" s="60" t="n"/>
      <c r="V73" s="12">
        <f>IF(B73="","",IF(U73&lt;&gt;"","Pago",IF(B73&lt;TODAY(),"Atrasado","Pendente")))</f>
        <v/>
      </c>
      <c r="W73" s="7" t="n"/>
      <c r="X73" s="7" t="n"/>
    </row>
    <row r="74">
      <c r="A74" s="4" t="n"/>
      <c r="B74" s="60" t="n"/>
      <c r="C74" s="61">
        <f>IF(B74="","",DATE(YEAR(B74),MONTH(B74),1))</f>
        <v/>
      </c>
      <c r="D74" s="7" t="n"/>
      <c r="E74" s="8" t="n"/>
      <c r="F74" s="4" t="n"/>
      <c r="G74" s="7" t="n"/>
      <c r="H74" s="7" t="n"/>
      <c r="I74" s="43" t="n"/>
      <c r="J74" s="44">
        <f>IF(I74="","",I74)</f>
        <v/>
      </c>
      <c r="K74" s="62">
        <f>IF(I74="","",IFERROR(VLOOKUP('Tabelas e Instruções'!$A$6,'Tabelas e Instruções'!$A$6:$B$8,2,FALSE),0))</f>
        <v/>
      </c>
      <c r="L74" s="44">
        <f>IF(J74="","",MIN(J74*K74,'Tabelas e Instruções'!$B$10))</f>
        <v/>
      </c>
      <c r="M74" s="44">
        <f>IF(I74="","",MAX(0,I74-L74))</f>
        <v/>
      </c>
      <c r="N74" s="62">
        <f>IF(M74="","",IFERROR(VLOOKUP(M74,'Tabelas e Instruções'!$D$6:$F$10,2,TRUE),0))</f>
        <v/>
      </c>
      <c r="O74" s="44">
        <f>IF(M74="","",IFERROR(VLOOKUP(M74,'Tabelas e Instruções'!$D$6:$F$10,3,TRUE),0))</f>
        <v/>
      </c>
      <c r="P74" s="44">
        <f>IF(M74="","",MAX(0,(M74*N74)-O74))</f>
        <v/>
      </c>
      <c r="Q74" s="62">
        <f>IF(H74="","",IFERROR(VLOOKUP(H74,'Tabelas e Instruções'!$H$6:$I$11,2,FALSE),0))</f>
        <v/>
      </c>
      <c r="R74" s="44">
        <f>IF(I74="","",IF(IFERROR(VLOOKUP(H74,'Tabelas e Instruções'!$H$6:$J$11,3,FALSE),"Não")="Sim",I74*Q74,0))</f>
        <v/>
      </c>
      <c r="S74" s="43" t="n"/>
      <c r="T74" s="44">
        <f>IF(I74="","",I74-L74-P74-R74-IF(S74="",0,S74))</f>
        <v/>
      </c>
      <c r="U74" s="60" t="n"/>
      <c r="V74" s="12">
        <f>IF(B74="","",IF(U74&lt;&gt;"","Pago",IF(B74&lt;TODAY(),"Atrasado","Pendente")))</f>
        <v/>
      </c>
      <c r="W74" s="7" t="n"/>
      <c r="X74" s="7" t="n"/>
    </row>
    <row r="75">
      <c r="A75" s="4" t="n"/>
      <c r="B75" s="60" t="n"/>
      <c r="C75" s="61">
        <f>IF(B75="","",DATE(YEAR(B75),MONTH(B75),1))</f>
        <v/>
      </c>
      <c r="D75" s="7" t="n"/>
      <c r="E75" s="8" t="n"/>
      <c r="F75" s="4" t="n"/>
      <c r="G75" s="7" t="n"/>
      <c r="H75" s="7" t="n"/>
      <c r="I75" s="43" t="n"/>
      <c r="J75" s="44">
        <f>IF(I75="","",I75)</f>
        <v/>
      </c>
      <c r="K75" s="62">
        <f>IF(I75="","",IFERROR(VLOOKUP('Tabelas e Instruções'!$A$6,'Tabelas e Instruções'!$A$6:$B$8,2,FALSE),0))</f>
        <v/>
      </c>
      <c r="L75" s="44">
        <f>IF(J75="","",MIN(J75*K75,'Tabelas e Instruções'!$B$10))</f>
        <v/>
      </c>
      <c r="M75" s="44">
        <f>IF(I75="","",MAX(0,I75-L75))</f>
        <v/>
      </c>
      <c r="N75" s="62">
        <f>IF(M75="","",IFERROR(VLOOKUP(M75,'Tabelas e Instruções'!$D$6:$F$10,2,TRUE),0))</f>
        <v/>
      </c>
      <c r="O75" s="44">
        <f>IF(M75="","",IFERROR(VLOOKUP(M75,'Tabelas e Instruções'!$D$6:$F$10,3,TRUE),0))</f>
        <v/>
      </c>
      <c r="P75" s="44">
        <f>IF(M75="","",MAX(0,(M75*N75)-O75))</f>
        <v/>
      </c>
      <c r="Q75" s="62">
        <f>IF(H75="","",IFERROR(VLOOKUP(H75,'Tabelas e Instruções'!$H$6:$I$11,2,FALSE),0))</f>
        <v/>
      </c>
      <c r="R75" s="44">
        <f>IF(I75="","",IF(IFERROR(VLOOKUP(H75,'Tabelas e Instruções'!$H$6:$J$11,3,FALSE),"Não")="Sim",I75*Q75,0))</f>
        <v/>
      </c>
      <c r="S75" s="43" t="n"/>
      <c r="T75" s="44">
        <f>IF(I75="","",I75-L75-P75-R75-IF(S75="",0,S75))</f>
        <v/>
      </c>
      <c r="U75" s="60" t="n"/>
      <c r="V75" s="12">
        <f>IF(B75="","",IF(U75&lt;&gt;"","Pago",IF(B75&lt;TODAY(),"Atrasado","Pendente")))</f>
        <v/>
      </c>
      <c r="W75" s="7" t="n"/>
      <c r="X75" s="7" t="n"/>
    </row>
    <row r="76">
      <c r="A76" s="4" t="n"/>
      <c r="B76" s="60" t="n"/>
      <c r="C76" s="61">
        <f>IF(B76="","",DATE(YEAR(B76),MONTH(B76),1))</f>
        <v/>
      </c>
      <c r="D76" s="7" t="n"/>
      <c r="E76" s="8" t="n"/>
      <c r="F76" s="4" t="n"/>
      <c r="G76" s="7" t="n"/>
      <c r="H76" s="7" t="n"/>
      <c r="I76" s="43" t="n"/>
      <c r="J76" s="44">
        <f>IF(I76="","",I76)</f>
        <v/>
      </c>
      <c r="K76" s="62">
        <f>IF(I76="","",IFERROR(VLOOKUP('Tabelas e Instruções'!$A$6,'Tabelas e Instruções'!$A$6:$B$8,2,FALSE),0))</f>
        <v/>
      </c>
      <c r="L76" s="44">
        <f>IF(J76="","",MIN(J76*K76,'Tabelas e Instruções'!$B$10))</f>
        <v/>
      </c>
      <c r="M76" s="44">
        <f>IF(I76="","",MAX(0,I76-L76))</f>
        <v/>
      </c>
      <c r="N76" s="62">
        <f>IF(M76="","",IFERROR(VLOOKUP(M76,'Tabelas e Instruções'!$D$6:$F$10,2,TRUE),0))</f>
        <v/>
      </c>
      <c r="O76" s="44">
        <f>IF(M76="","",IFERROR(VLOOKUP(M76,'Tabelas e Instruções'!$D$6:$F$10,3,TRUE),0))</f>
        <v/>
      </c>
      <c r="P76" s="44">
        <f>IF(M76="","",MAX(0,(M76*N76)-O76))</f>
        <v/>
      </c>
      <c r="Q76" s="62">
        <f>IF(H76="","",IFERROR(VLOOKUP(H76,'Tabelas e Instruções'!$H$6:$I$11,2,FALSE),0))</f>
        <v/>
      </c>
      <c r="R76" s="44">
        <f>IF(I76="","",IF(IFERROR(VLOOKUP(H76,'Tabelas e Instruções'!$H$6:$J$11,3,FALSE),"Não")="Sim",I76*Q76,0))</f>
        <v/>
      </c>
      <c r="S76" s="43" t="n"/>
      <c r="T76" s="44">
        <f>IF(I76="","",I76-L76-P76-R76-IF(S76="",0,S76))</f>
        <v/>
      </c>
      <c r="U76" s="60" t="n"/>
      <c r="V76" s="12">
        <f>IF(B76="","",IF(U76&lt;&gt;"","Pago",IF(B76&lt;TODAY(),"Atrasado","Pendente")))</f>
        <v/>
      </c>
      <c r="W76" s="7" t="n"/>
      <c r="X76" s="7" t="n"/>
    </row>
    <row r="77">
      <c r="A77" s="4" t="n"/>
      <c r="B77" s="60" t="n"/>
      <c r="C77" s="61">
        <f>IF(B77="","",DATE(YEAR(B77),MONTH(B77),1))</f>
        <v/>
      </c>
      <c r="D77" s="7" t="n"/>
      <c r="E77" s="8" t="n"/>
      <c r="F77" s="4" t="n"/>
      <c r="G77" s="7" t="n"/>
      <c r="H77" s="7" t="n"/>
      <c r="I77" s="43" t="n"/>
      <c r="J77" s="44">
        <f>IF(I77="","",I77)</f>
        <v/>
      </c>
      <c r="K77" s="62">
        <f>IF(I77="","",IFERROR(VLOOKUP('Tabelas e Instruções'!$A$6,'Tabelas e Instruções'!$A$6:$B$8,2,FALSE),0))</f>
        <v/>
      </c>
      <c r="L77" s="44">
        <f>IF(J77="","",MIN(J77*K77,'Tabelas e Instruções'!$B$10))</f>
        <v/>
      </c>
      <c r="M77" s="44">
        <f>IF(I77="","",MAX(0,I77-L77))</f>
        <v/>
      </c>
      <c r="N77" s="62">
        <f>IF(M77="","",IFERROR(VLOOKUP(M77,'Tabelas e Instruções'!$D$6:$F$10,2,TRUE),0))</f>
        <v/>
      </c>
      <c r="O77" s="44">
        <f>IF(M77="","",IFERROR(VLOOKUP(M77,'Tabelas e Instruções'!$D$6:$F$10,3,TRUE),0))</f>
        <v/>
      </c>
      <c r="P77" s="44">
        <f>IF(M77="","",MAX(0,(M77*N77)-O77))</f>
        <v/>
      </c>
      <c r="Q77" s="62">
        <f>IF(H77="","",IFERROR(VLOOKUP(H77,'Tabelas e Instruções'!$H$6:$I$11,2,FALSE),0))</f>
        <v/>
      </c>
      <c r="R77" s="44">
        <f>IF(I77="","",IF(IFERROR(VLOOKUP(H77,'Tabelas e Instruções'!$H$6:$J$11,3,FALSE),"Não")="Sim",I77*Q77,0))</f>
        <v/>
      </c>
      <c r="S77" s="43" t="n"/>
      <c r="T77" s="44">
        <f>IF(I77="","",I77-L77-P77-R77-IF(S77="",0,S77))</f>
        <v/>
      </c>
      <c r="U77" s="60" t="n"/>
      <c r="V77" s="12">
        <f>IF(B77="","",IF(U77&lt;&gt;"","Pago",IF(B77&lt;TODAY(),"Atrasado","Pendente")))</f>
        <v/>
      </c>
      <c r="W77" s="7" t="n"/>
      <c r="X77" s="7" t="n"/>
    </row>
    <row r="78">
      <c r="A78" s="4" t="n"/>
      <c r="B78" s="60" t="n"/>
      <c r="C78" s="61">
        <f>IF(B78="","",DATE(YEAR(B78),MONTH(B78),1))</f>
        <v/>
      </c>
      <c r="D78" s="7" t="n"/>
      <c r="E78" s="8" t="n"/>
      <c r="F78" s="4" t="n"/>
      <c r="G78" s="7" t="n"/>
      <c r="H78" s="7" t="n"/>
      <c r="I78" s="43" t="n"/>
      <c r="J78" s="44">
        <f>IF(I78="","",I78)</f>
        <v/>
      </c>
      <c r="K78" s="62">
        <f>IF(I78="","",IFERROR(VLOOKUP('Tabelas e Instruções'!$A$6,'Tabelas e Instruções'!$A$6:$B$8,2,FALSE),0))</f>
        <v/>
      </c>
      <c r="L78" s="44">
        <f>IF(J78="","",MIN(J78*K78,'Tabelas e Instruções'!$B$10))</f>
        <v/>
      </c>
      <c r="M78" s="44">
        <f>IF(I78="","",MAX(0,I78-L78))</f>
        <v/>
      </c>
      <c r="N78" s="62">
        <f>IF(M78="","",IFERROR(VLOOKUP(M78,'Tabelas e Instruções'!$D$6:$F$10,2,TRUE),0))</f>
        <v/>
      </c>
      <c r="O78" s="44">
        <f>IF(M78="","",IFERROR(VLOOKUP(M78,'Tabelas e Instruções'!$D$6:$F$10,3,TRUE),0))</f>
        <v/>
      </c>
      <c r="P78" s="44">
        <f>IF(M78="","",MAX(0,(M78*N78)-O78))</f>
        <v/>
      </c>
      <c r="Q78" s="62">
        <f>IF(H78="","",IFERROR(VLOOKUP(H78,'Tabelas e Instruções'!$H$6:$I$11,2,FALSE),0))</f>
        <v/>
      </c>
      <c r="R78" s="44">
        <f>IF(I78="","",IF(IFERROR(VLOOKUP(H78,'Tabelas e Instruções'!$H$6:$J$11,3,FALSE),"Não")="Sim",I78*Q78,0))</f>
        <v/>
      </c>
      <c r="S78" s="43" t="n"/>
      <c r="T78" s="44">
        <f>IF(I78="","",I78-L78-P78-R78-IF(S78="",0,S78))</f>
        <v/>
      </c>
      <c r="U78" s="60" t="n"/>
      <c r="V78" s="12">
        <f>IF(B78="","",IF(U78&lt;&gt;"","Pago",IF(B78&lt;TODAY(),"Atrasado","Pendente")))</f>
        <v/>
      </c>
      <c r="W78" s="7" t="n"/>
      <c r="X78" s="7" t="n"/>
    </row>
    <row r="79">
      <c r="A79" s="4" t="n"/>
      <c r="B79" s="60" t="n"/>
      <c r="C79" s="61">
        <f>IF(B79="","",DATE(YEAR(B79),MONTH(B79),1))</f>
        <v/>
      </c>
      <c r="D79" s="7" t="n"/>
      <c r="E79" s="8" t="n"/>
      <c r="F79" s="4" t="n"/>
      <c r="G79" s="7" t="n"/>
      <c r="H79" s="7" t="n"/>
      <c r="I79" s="43" t="n"/>
      <c r="J79" s="44">
        <f>IF(I79="","",I79)</f>
        <v/>
      </c>
      <c r="K79" s="62">
        <f>IF(I79="","",IFERROR(VLOOKUP('Tabelas e Instruções'!$A$6,'Tabelas e Instruções'!$A$6:$B$8,2,FALSE),0))</f>
        <v/>
      </c>
      <c r="L79" s="44">
        <f>IF(J79="","",MIN(J79*K79,'Tabelas e Instruções'!$B$10))</f>
        <v/>
      </c>
      <c r="M79" s="44">
        <f>IF(I79="","",MAX(0,I79-L79))</f>
        <v/>
      </c>
      <c r="N79" s="62">
        <f>IF(M79="","",IFERROR(VLOOKUP(M79,'Tabelas e Instruções'!$D$6:$F$10,2,TRUE),0))</f>
        <v/>
      </c>
      <c r="O79" s="44">
        <f>IF(M79="","",IFERROR(VLOOKUP(M79,'Tabelas e Instruções'!$D$6:$F$10,3,TRUE),0))</f>
        <v/>
      </c>
      <c r="P79" s="44">
        <f>IF(M79="","",MAX(0,(M79*N79)-O79))</f>
        <v/>
      </c>
      <c r="Q79" s="62">
        <f>IF(H79="","",IFERROR(VLOOKUP(H79,'Tabelas e Instruções'!$H$6:$I$11,2,FALSE),0))</f>
        <v/>
      </c>
      <c r="R79" s="44">
        <f>IF(I79="","",IF(IFERROR(VLOOKUP(H79,'Tabelas e Instruções'!$H$6:$J$11,3,FALSE),"Não")="Sim",I79*Q79,0))</f>
        <v/>
      </c>
      <c r="S79" s="43" t="n"/>
      <c r="T79" s="44">
        <f>IF(I79="","",I79-L79-P79-R79-IF(S79="",0,S79))</f>
        <v/>
      </c>
      <c r="U79" s="60" t="n"/>
      <c r="V79" s="12">
        <f>IF(B79="","",IF(U79&lt;&gt;"","Pago",IF(B79&lt;TODAY(),"Atrasado","Pendente")))</f>
        <v/>
      </c>
      <c r="W79" s="7" t="n"/>
      <c r="X79" s="7" t="n"/>
    </row>
    <row r="80">
      <c r="A80" s="4" t="n"/>
      <c r="B80" s="60" t="n"/>
      <c r="C80" s="61">
        <f>IF(B80="","",DATE(YEAR(B80),MONTH(B80),1))</f>
        <v/>
      </c>
      <c r="D80" s="7" t="n"/>
      <c r="E80" s="8" t="n"/>
      <c r="F80" s="4" t="n"/>
      <c r="G80" s="7" t="n"/>
      <c r="H80" s="7" t="n"/>
      <c r="I80" s="43" t="n"/>
      <c r="J80" s="44">
        <f>IF(I80="","",I80)</f>
        <v/>
      </c>
      <c r="K80" s="62">
        <f>IF(I80="","",IFERROR(VLOOKUP('Tabelas e Instruções'!$A$6,'Tabelas e Instruções'!$A$6:$B$8,2,FALSE),0))</f>
        <v/>
      </c>
      <c r="L80" s="44">
        <f>IF(J80="","",MIN(J80*K80,'Tabelas e Instruções'!$B$10))</f>
        <v/>
      </c>
      <c r="M80" s="44">
        <f>IF(I80="","",MAX(0,I80-L80))</f>
        <v/>
      </c>
      <c r="N80" s="62">
        <f>IF(M80="","",IFERROR(VLOOKUP(M80,'Tabelas e Instruções'!$D$6:$F$10,2,TRUE),0))</f>
        <v/>
      </c>
      <c r="O80" s="44">
        <f>IF(M80="","",IFERROR(VLOOKUP(M80,'Tabelas e Instruções'!$D$6:$F$10,3,TRUE),0))</f>
        <v/>
      </c>
      <c r="P80" s="44">
        <f>IF(M80="","",MAX(0,(M80*N80)-O80))</f>
        <v/>
      </c>
      <c r="Q80" s="62">
        <f>IF(H80="","",IFERROR(VLOOKUP(H80,'Tabelas e Instruções'!$H$6:$I$11,2,FALSE),0))</f>
        <v/>
      </c>
      <c r="R80" s="44">
        <f>IF(I80="","",IF(IFERROR(VLOOKUP(H80,'Tabelas e Instruções'!$H$6:$J$11,3,FALSE),"Não")="Sim",I80*Q80,0))</f>
        <v/>
      </c>
      <c r="S80" s="43" t="n"/>
      <c r="T80" s="44">
        <f>IF(I80="","",I80-L80-P80-R80-IF(S80="",0,S80))</f>
        <v/>
      </c>
      <c r="U80" s="60" t="n"/>
      <c r="V80" s="12">
        <f>IF(B80="","",IF(U80&lt;&gt;"","Pago",IF(B80&lt;TODAY(),"Atrasado","Pendente")))</f>
        <v/>
      </c>
      <c r="W80" s="7" t="n"/>
      <c r="X80" s="7" t="n"/>
    </row>
    <row r="81">
      <c r="A81" s="4" t="n"/>
      <c r="B81" s="60" t="n"/>
      <c r="C81" s="61">
        <f>IF(B81="","",DATE(YEAR(B81),MONTH(B81),1))</f>
        <v/>
      </c>
      <c r="D81" s="7" t="n"/>
      <c r="E81" s="8" t="n"/>
      <c r="F81" s="4" t="n"/>
      <c r="G81" s="7" t="n"/>
      <c r="H81" s="7" t="n"/>
      <c r="I81" s="43" t="n"/>
      <c r="J81" s="44">
        <f>IF(I81="","",I81)</f>
        <v/>
      </c>
      <c r="K81" s="62">
        <f>IF(I81="","",IFERROR(VLOOKUP('Tabelas e Instruções'!$A$6,'Tabelas e Instruções'!$A$6:$B$8,2,FALSE),0))</f>
        <v/>
      </c>
      <c r="L81" s="44">
        <f>IF(J81="","",MIN(J81*K81,'Tabelas e Instruções'!$B$10))</f>
        <v/>
      </c>
      <c r="M81" s="44">
        <f>IF(I81="","",MAX(0,I81-L81))</f>
        <v/>
      </c>
      <c r="N81" s="62">
        <f>IF(M81="","",IFERROR(VLOOKUP(M81,'Tabelas e Instruções'!$D$6:$F$10,2,TRUE),0))</f>
        <v/>
      </c>
      <c r="O81" s="44">
        <f>IF(M81="","",IFERROR(VLOOKUP(M81,'Tabelas e Instruções'!$D$6:$F$10,3,TRUE),0))</f>
        <v/>
      </c>
      <c r="P81" s="44">
        <f>IF(M81="","",MAX(0,(M81*N81)-O81))</f>
        <v/>
      </c>
      <c r="Q81" s="62">
        <f>IF(H81="","",IFERROR(VLOOKUP(H81,'Tabelas e Instruções'!$H$6:$I$11,2,FALSE),0))</f>
        <v/>
      </c>
      <c r="R81" s="44">
        <f>IF(I81="","",IF(IFERROR(VLOOKUP(H81,'Tabelas e Instruções'!$H$6:$J$11,3,FALSE),"Não")="Sim",I81*Q81,0))</f>
        <v/>
      </c>
      <c r="S81" s="43" t="n"/>
      <c r="T81" s="44">
        <f>IF(I81="","",I81-L81-P81-R81-IF(S81="",0,S81))</f>
        <v/>
      </c>
      <c r="U81" s="60" t="n"/>
      <c r="V81" s="12">
        <f>IF(B81="","",IF(U81&lt;&gt;"","Pago",IF(B81&lt;TODAY(),"Atrasado","Pendente")))</f>
        <v/>
      </c>
      <c r="W81" s="7" t="n"/>
      <c r="X81" s="7" t="n"/>
    </row>
    <row r="82">
      <c r="A82" s="4" t="n"/>
      <c r="B82" s="60" t="n"/>
      <c r="C82" s="61">
        <f>IF(B82="","",DATE(YEAR(B82),MONTH(B82),1))</f>
        <v/>
      </c>
      <c r="D82" s="7" t="n"/>
      <c r="E82" s="8" t="n"/>
      <c r="F82" s="4" t="n"/>
      <c r="G82" s="7" t="n"/>
      <c r="H82" s="7" t="n"/>
      <c r="I82" s="43" t="n"/>
      <c r="J82" s="44">
        <f>IF(I82="","",I82)</f>
        <v/>
      </c>
      <c r="K82" s="62">
        <f>IF(I82="","",IFERROR(VLOOKUP('Tabelas e Instruções'!$A$6,'Tabelas e Instruções'!$A$6:$B$8,2,FALSE),0))</f>
        <v/>
      </c>
      <c r="L82" s="44">
        <f>IF(J82="","",MIN(J82*K82,'Tabelas e Instruções'!$B$10))</f>
        <v/>
      </c>
      <c r="M82" s="44">
        <f>IF(I82="","",MAX(0,I82-L82))</f>
        <v/>
      </c>
      <c r="N82" s="62">
        <f>IF(M82="","",IFERROR(VLOOKUP(M82,'Tabelas e Instruções'!$D$6:$F$10,2,TRUE),0))</f>
        <v/>
      </c>
      <c r="O82" s="44">
        <f>IF(M82="","",IFERROR(VLOOKUP(M82,'Tabelas e Instruções'!$D$6:$F$10,3,TRUE),0))</f>
        <v/>
      </c>
      <c r="P82" s="44">
        <f>IF(M82="","",MAX(0,(M82*N82)-O82))</f>
        <v/>
      </c>
      <c r="Q82" s="62">
        <f>IF(H82="","",IFERROR(VLOOKUP(H82,'Tabelas e Instruções'!$H$6:$I$11,2,FALSE),0))</f>
        <v/>
      </c>
      <c r="R82" s="44">
        <f>IF(I82="","",IF(IFERROR(VLOOKUP(H82,'Tabelas e Instruções'!$H$6:$J$11,3,FALSE),"Não")="Sim",I82*Q82,0))</f>
        <v/>
      </c>
      <c r="S82" s="43" t="n"/>
      <c r="T82" s="44">
        <f>IF(I82="","",I82-L82-P82-R82-IF(S82="",0,S82))</f>
        <v/>
      </c>
      <c r="U82" s="60" t="n"/>
      <c r="V82" s="12">
        <f>IF(B82="","",IF(U82&lt;&gt;"","Pago",IF(B82&lt;TODAY(),"Atrasado","Pendente")))</f>
        <v/>
      </c>
      <c r="W82" s="7" t="n"/>
      <c r="X82" s="7" t="n"/>
    </row>
    <row r="83">
      <c r="A83" s="4" t="n"/>
      <c r="B83" s="60" t="n"/>
      <c r="C83" s="61">
        <f>IF(B83="","",DATE(YEAR(B83),MONTH(B83),1))</f>
        <v/>
      </c>
      <c r="D83" s="7" t="n"/>
      <c r="E83" s="8" t="n"/>
      <c r="F83" s="4" t="n"/>
      <c r="G83" s="7" t="n"/>
      <c r="H83" s="7" t="n"/>
      <c r="I83" s="43" t="n"/>
      <c r="J83" s="44">
        <f>IF(I83="","",I83)</f>
        <v/>
      </c>
      <c r="K83" s="62">
        <f>IF(I83="","",IFERROR(VLOOKUP('Tabelas e Instruções'!$A$6,'Tabelas e Instruções'!$A$6:$B$8,2,FALSE),0))</f>
        <v/>
      </c>
      <c r="L83" s="44">
        <f>IF(J83="","",MIN(J83*K83,'Tabelas e Instruções'!$B$10))</f>
        <v/>
      </c>
      <c r="M83" s="44">
        <f>IF(I83="","",MAX(0,I83-L83))</f>
        <v/>
      </c>
      <c r="N83" s="62">
        <f>IF(M83="","",IFERROR(VLOOKUP(M83,'Tabelas e Instruções'!$D$6:$F$10,2,TRUE),0))</f>
        <v/>
      </c>
      <c r="O83" s="44">
        <f>IF(M83="","",IFERROR(VLOOKUP(M83,'Tabelas e Instruções'!$D$6:$F$10,3,TRUE),0))</f>
        <v/>
      </c>
      <c r="P83" s="44">
        <f>IF(M83="","",MAX(0,(M83*N83)-O83))</f>
        <v/>
      </c>
      <c r="Q83" s="62">
        <f>IF(H83="","",IFERROR(VLOOKUP(H83,'Tabelas e Instruções'!$H$6:$I$11,2,FALSE),0))</f>
        <v/>
      </c>
      <c r="R83" s="44">
        <f>IF(I83="","",IF(IFERROR(VLOOKUP(H83,'Tabelas e Instruções'!$H$6:$J$11,3,FALSE),"Não")="Sim",I83*Q83,0))</f>
        <v/>
      </c>
      <c r="S83" s="43" t="n"/>
      <c r="T83" s="44">
        <f>IF(I83="","",I83-L83-P83-R83-IF(S83="",0,S83))</f>
        <v/>
      </c>
      <c r="U83" s="60" t="n"/>
      <c r="V83" s="12">
        <f>IF(B83="","",IF(U83&lt;&gt;"","Pago",IF(B83&lt;TODAY(),"Atrasado","Pendente")))</f>
        <v/>
      </c>
      <c r="W83" s="7" t="n"/>
      <c r="X83" s="7" t="n"/>
    </row>
    <row r="84">
      <c r="A84" s="4" t="n"/>
      <c r="B84" s="60" t="n"/>
      <c r="C84" s="61">
        <f>IF(B84="","",DATE(YEAR(B84),MONTH(B84),1))</f>
        <v/>
      </c>
      <c r="D84" s="7" t="n"/>
      <c r="E84" s="8" t="n"/>
      <c r="F84" s="4" t="n"/>
      <c r="G84" s="7" t="n"/>
      <c r="H84" s="7" t="n"/>
      <c r="I84" s="43" t="n"/>
      <c r="J84" s="44">
        <f>IF(I84="","",I84)</f>
        <v/>
      </c>
      <c r="K84" s="62">
        <f>IF(I84="","",IFERROR(VLOOKUP('Tabelas e Instruções'!$A$6,'Tabelas e Instruções'!$A$6:$B$8,2,FALSE),0))</f>
        <v/>
      </c>
      <c r="L84" s="44">
        <f>IF(J84="","",MIN(J84*K84,'Tabelas e Instruções'!$B$10))</f>
        <v/>
      </c>
      <c r="M84" s="44">
        <f>IF(I84="","",MAX(0,I84-L84))</f>
        <v/>
      </c>
      <c r="N84" s="62">
        <f>IF(M84="","",IFERROR(VLOOKUP(M84,'Tabelas e Instruções'!$D$6:$F$10,2,TRUE),0))</f>
        <v/>
      </c>
      <c r="O84" s="44">
        <f>IF(M84="","",IFERROR(VLOOKUP(M84,'Tabelas e Instruções'!$D$6:$F$10,3,TRUE),0))</f>
        <v/>
      </c>
      <c r="P84" s="44">
        <f>IF(M84="","",MAX(0,(M84*N84)-O84))</f>
        <v/>
      </c>
      <c r="Q84" s="62">
        <f>IF(H84="","",IFERROR(VLOOKUP(H84,'Tabelas e Instruções'!$H$6:$I$11,2,FALSE),0))</f>
        <v/>
      </c>
      <c r="R84" s="44">
        <f>IF(I84="","",IF(IFERROR(VLOOKUP(H84,'Tabelas e Instruções'!$H$6:$J$11,3,FALSE),"Não")="Sim",I84*Q84,0))</f>
        <v/>
      </c>
      <c r="S84" s="43" t="n"/>
      <c r="T84" s="44">
        <f>IF(I84="","",I84-L84-P84-R84-IF(S84="",0,S84))</f>
        <v/>
      </c>
      <c r="U84" s="60" t="n"/>
      <c r="V84" s="12">
        <f>IF(B84="","",IF(U84&lt;&gt;"","Pago",IF(B84&lt;TODAY(),"Atrasado","Pendente")))</f>
        <v/>
      </c>
      <c r="W84" s="7" t="n"/>
      <c r="X84" s="7" t="n"/>
    </row>
    <row r="85">
      <c r="A85" s="4" t="n"/>
      <c r="B85" s="60" t="n"/>
      <c r="C85" s="61">
        <f>IF(B85="","",DATE(YEAR(B85),MONTH(B85),1))</f>
        <v/>
      </c>
      <c r="D85" s="7" t="n"/>
      <c r="E85" s="8" t="n"/>
      <c r="F85" s="4" t="n"/>
      <c r="G85" s="7" t="n"/>
      <c r="H85" s="7" t="n"/>
      <c r="I85" s="43" t="n"/>
      <c r="J85" s="44">
        <f>IF(I85="","",I85)</f>
        <v/>
      </c>
      <c r="K85" s="62">
        <f>IF(I85="","",IFERROR(VLOOKUP('Tabelas e Instruções'!$A$6,'Tabelas e Instruções'!$A$6:$B$8,2,FALSE),0))</f>
        <v/>
      </c>
      <c r="L85" s="44">
        <f>IF(J85="","",MIN(J85*K85,'Tabelas e Instruções'!$B$10))</f>
        <v/>
      </c>
      <c r="M85" s="44">
        <f>IF(I85="","",MAX(0,I85-L85))</f>
        <v/>
      </c>
      <c r="N85" s="62">
        <f>IF(M85="","",IFERROR(VLOOKUP(M85,'Tabelas e Instruções'!$D$6:$F$10,2,TRUE),0))</f>
        <v/>
      </c>
      <c r="O85" s="44">
        <f>IF(M85="","",IFERROR(VLOOKUP(M85,'Tabelas e Instruções'!$D$6:$F$10,3,TRUE),0))</f>
        <v/>
      </c>
      <c r="P85" s="44">
        <f>IF(M85="","",MAX(0,(M85*N85)-O85))</f>
        <v/>
      </c>
      <c r="Q85" s="62">
        <f>IF(H85="","",IFERROR(VLOOKUP(H85,'Tabelas e Instruções'!$H$6:$I$11,2,FALSE),0))</f>
        <v/>
      </c>
      <c r="R85" s="44">
        <f>IF(I85="","",IF(IFERROR(VLOOKUP(H85,'Tabelas e Instruções'!$H$6:$J$11,3,FALSE),"Não")="Sim",I85*Q85,0))</f>
        <v/>
      </c>
      <c r="S85" s="43" t="n"/>
      <c r="T85" s="44">
        <f>IF(I85="","",I85-L85-P85-R85-IF(S85="",0,S85))</f>
        <v/>
      </c>
      <c r="U85" s="60" t="n"/>
      <c r="V85" s="12">
        <f>IF(B85="","",IF(U85&lt;&gt;"","Pago",IF(B85&lt;TODAY(),"Atrasado","Pendente")))</f>
        <v/>
      </c>
      <c r="W85" s="7" t="n"/>
      <c r="X85" s="7" t="n"/>
    </row>
    <row r="86">
      <c r="A86" s="4" t="n"/>
      <c r="B86" s="60" t="n"/>
      <c r="C86" s="61">
        <f>IF(B86="","",DATE(YEAR(B86),MONTH(B86),1))</f>
        <v/>
      </c>
      <c r="D86" s="7" t="n"/>
      <c r="E86" s="8" t="n"/>
      <c r="F86" s="4" t="n"/>
      <c r="G86" s="7" t="n"/>
      <c r="H86" s="7" t="n"/>
      <c r="I86" s="43" t="n"/>
      <c r="J86" s="44">
        <f>IF(I86="","",I86)</f>
        <v/>
      </c>
      <c r="K86" s="62">
        <f>IF(I86="","",IFERROR(VLOOKUP('Tabelas e Instruções'!$A$6,'Tabelas e Instruções'!$A$6:$B$8,2,FALSE),0))</f>
        <v/>
      </c>
      <c r="L86" s="44">
        <f>IF(J86="","",MIN(J86*K86,'Tabelas e Instruções'!$B$10))</f>
        <v/>
      </c>
      <c r="M86" s="44">
        <f>IF(I86="","",MAX(0,I86-L86))</f>
        <v/>
      </c>
      <c r="N86" s="62">
        <f>IF(M86="","",IFERROR(VLOOKUP(M86,'Tabelas e Instruções'!$D$6:$F$10,2,TRUE),0))</f>
        <v/>
      </c>
      <c r="O86" s="44">
        <f>IF(M86="","",IFERROR(VLOOKUP(M86,'Tabelas e Instruções'!$D$6:$F$10,3,TRUE),0))</f>
        <v/>
      </c>
      <c r="P86" s="44">
        <f>IF(M86="","",MAX(0,(M86*N86)-O86))</f>
        <v/>
      </c>
      <c r="Q86" s="62">
        <f>IF(H86="","",IFERROR(VLOOKUP(H86,'Tabelas e Instruções'!$H$6:$I$11,2,FALSE),0))</f>
        <v/>
      </c>
      <c r="R86" s="44">
        <f>IF(I86="","",IF(IFERROR(VLOOKUP(H86,'Tabelas e Instruções'!$H$6:$J$11,3,FALSE),"Não")="Sim",I86*Q86,0))</f>
        <v/>
      </c>
      <c r="S86" s="43" t="n"/>
      <c r="T86" s="44">
        <f>IF(I86="","",I86-L86-P86-R86-IF(S86="",0,S86))</f>
        <v/>
      </c>
      <c r="U86" s="60" t="n"/>
      <c r="V86" s="12">
        <f>IF(B86="","",IF(U86&lt;&gt;"","Pago",IF(B86&lt;TODAY(),"Atrasado","Pendente")))</f>
        <v/>
      </c>
      <c r="W86" s="7" t="n"/>
      <c r="X86" s="7" t="n"/>
    </row>
    <row r="87">
      <c r="A87" s="4" t="n"/>
      <c r="B87" s="60" t="n"/>
      <c r="C87" s="61">
        <f>IF(B87="","",DATE(YEAR(B87),MONTH(B87),1))</f>
        <v/>
      </c>
      <c r="D87" s="7" t="n"/>
      <c r="E87" s="8" t="n"/>
      <c r="F87" s="4" t="n"/>
      <c r="G87" s="7" t="n"/>
      <c r="H87" s="7" t="n"/>
      <c r="I87" s="43" t="n"/>
      <c r="J87" s="44">
        <f>IF(I87="","",I87)</f>
        <v/>
      </c>
      <c r="K87" s="62">
        <f>IF(I87="","",IFERROR(VLOOKUP('Tabelas e Instruções'!$A$6,'Tabelas e Instruções'!$A$6:$B$8,2,FALSE),0))</f>
        <v/>
      </c>
      <c r="L87" s="44">
        <f>IF(J87="","",MIN(J87*K87,'Tabelas e Instruções'!$B$10))</f>
        <v/>
      </c>
      <c r="M87" s="44">
        <f>IF(I87="","",MAX(0,I87-L87))</f>
        <v/>
      </c>
      <c r="N87" s="62">
        <f>IF(M87="","",IFERROR(VLOOKUP(M87,'Tabelas e Instruções'!$D$6:$F$10,2,TRUE),0))</f>
        <v/>
      </c>
      <c r="O87" s="44">
        <f>IF(M87="","",IFERROR(VLOOKUP(M87,'Tabelas e Instruções'!$D$6:$F$10,3,TRUE),0))</f>
        <v/>
      </c>
      <c r="P87" s="44">
        <f>IF(M87="","",MAX(0,(M87*N87)-O87))</f>
        <v/>
      </c>
      <c r="Q87" s="62">
        <f>IF(H87="","",IFERROR(VLOOKUP(H87,'Tabelas e Instruções'!$H$6:$I$11,2,FALSE),0))</f>
        <v/>
      </c>
      <c r="R87" s="44">
        <f>IF(I87="","",IF(IFERROR(VLOOKUP(H87,'Tabelas e Instruções'!$H$6:$J$11,3,FALSE),"Não")="Sim",I87*Q87,0))</f>
        <v/>
      </c>
      <c r="S87" s="43" t="n"/>
      <c r="T87" s="44">
        <f>IF(I87="","",I87-L87-P87-R87-IF(S87="",0,S87))</f>
        <v/>
      </c>
      <c r="U87" s="60" t="n"/>
      <c r="V87" s="12">
        <f>IF(B87="","",IF(U87&lt;&gt;"","Pago",IF(B87&lt;TODAY(),"Atrasado","Pendente")))</f>
        <v/>
      </c>
      <c r="W87" s="7" t="n"/>
      <c r="X87" s="7" t="n"/>
    </row>
    <row r="88">
      <c r="A88" s="4" t="n"/>
      <c r="B88" s="60" t="n"/>
      <c r="C88" s="61">
        <f>IF(B88="","",DATE(YEAR(B88),MONTH(B88),1))</f>
        <v/>
      </c>
      <c r="D88" s="7" t="n"/>
      <c r="E88" s="8" t="n"/>
      <c r="F88" s="4" t="n"/>
      <c r="G88" s="7" t="n"/>
      <c r="H88" s="7" t="n"/>
      <c r="I88" s="43" t="n"/>
      <c r="J88" s="44">
        <f>IF(I88="","",I88)</f>
        <v/>
      </c>
      <c r="K88" s="62">
        <f>IF(I88="","",IFERROR(VLOOKUP('Tabelas e Instruções'!$A$6,'Tabelas e Instruções'!$A$6:$B$8,2,FALSE),0))</f>
        <v/>
      </c>
      <c r="L88" s="44">
        <f>IF(J88="","",MIN(J88*K88,'Tabelas e Instruções'!$B$10))</f>
        <v/>
      </c>
      <c r="M88" s="44">
        <f>IF(I88="","",MAX(0,I88-L88))</f>
        <v/>
      </c>
      <c r="N88" s="62">
        <f>IF(M88="","",IFERROR(VLOOKUP(M88,'Tabelas e Instruções'!$D$6:$F$10,2,TRUE),0))</f>
        <v/>
      </c>
      <c r="O88" s="44">
        <f>IF(M88="","",IFERROR(VLOOKUP(M88,'Tabelas e Instruções'!$D$6:$F$10,3,TRUE),0))</f>
        <v/>
      </c>
      <c r="P88" s="44">
        <f>IF(M88="","",MAX(0,(M88*N88)-O88))</f>
        <v/>
      </c>
      <c r="Q88" s="62">
        <f>IF(H88="","",IFERROR(VLOOKUP(H88,'Tabelas e Instruções'!$H$6:$I$11,2,FALSE),0))</f>
        <v/>
      </c>
      <c r="R88" s="44">
        <f>IF(I88="","",IF(IFERROR(VLOOKUP(H88,'Tabelas e Instruções'!$H$6:$J$11,3,FALSE),"Não")="Sim",I88*Q88,0))</f>
        <v/>
      </c>
      <c r="S88" s="43" t="n"/>
      <c r="T88" s="44">
        <f>IF(I88="","",I88-L88-P88-R88-IF(S88="",0,S88))</f>
        <v/>
      </c>
      <c r="U88" s="60" t="n"/>
      <c r="V88" s="12">
        <f>IF(B88="","",IF(U88&lt;&gt;"","Pago",IF(B88&lt;TODAY(),"Atrasado","Pendente")))</f>
        <v/>
      </c>
      <c r="W88" s="7" t="n"/>
      <c r="X88" s="7" t="n"/>
    </row>
    <row r="89">
      <c r="A89" s="4" t="n"/>
      <c r="B89" s="60" t="n"/>
      <c r="C89" s="61">
        <f>IF(B89="","",DATE(YEAR(B89),MONTH(B89),1))</f>
        <v/>
      </c>
      <c r="D89" s="7" t="n"/>
      <c r="E89" s="8" t="n"/>
      <c r="F89" s="4" t="n"/>
      <c r="G89" s="7" t="n"/>
      <c r="H89" s="7" t="n"/>
      <c r="I89" s="43" t="n"/>
      <c r="J89" s="44">
        <f>IF(I89="","",I89)</f>
        <v/>
      </c>
      <c r="K89" s="62">
        <f>IF(I89="","",IFERROR(VLOOKUP('Tabelas e Instruções'!$A$6,'Tabelas e Instruções'!$A$6:$B$8,2,FALSE),0))</f>
        <v/>
      </c>
      <c r="L89" s="44">
        <f>IF(J89="","",MIN(J89*K89,'Tabelas e Instruções'!$B$10))</f>
        <v/>
      </c>
      <c r="M89" s="44">
        <f>IF(I89="","",MAX(0,I89-L89))</f>
        <v/>
      </c>
      <c r="N89" s="62">
        <f>IF(M89="","",IFERROR(VLOOKUP(M89,'Tabelas e Instruções'!$D$6:$F$10,2,TRUE),0))</f>
        <v/>
      </c>
      <c r="O89" s="44">
        <f>IF(M89="","",IFERROR(VLOOKUP(M89,'Tabelas e Instruções'!$D$6:$F$10,3,TRUE),0))</f>
        <v/>
      </c>
      <c r="P89" s="44">
        <f>IF(M89="","",MAX(0,(M89*N89)-O89))</f>
        <v/>
      </c>
      <c r="Q89" s="62">
        <f>IF(H89="","",IFERROR(VLOOKUP(H89,'Tabelas e Instruções'!$H$6:$I$11,2,FALSE),0))</f>
        <v/>
      </c>
      <c r="R89" s="44">
        <f>IF(I89="","",IF(IFERROR(VLOOKUP(H89,'Tabelas e Instruções'!$H$6:$J$11,3,FALSE),"Não")="Sim",I89*Q89,0))</f>
        <v/>
      </c>
      <c r="S89" s="43" t="n"/>
      <c r="T89" s="44">
        <f>IF(I89="","",I89-L89-P89-R89-IF(S89="",0,S89))</f>
        <v/>
      </c>
      <c r="U89" s="60" t="n"/>
      <c r="V89" s="12">
        <f>IF(B89="","",IF(U89&lt;&gt;"","Pago",IF(B89&lt;TODAY(),"Atrasado","Pendente")))</f>
        <v/>
      </c>
      <c r="W89" s="7" t="n"/>
      <c r="X89" s="7" t="n"/>
    </row>
    <row r="90">
      <c r="A90" s="4" t="n"/>
      <c r="B90" s="60" t="n"/>
      <c r="C90" s="61">
        <f>IF(B90="","",DATE(YEAR(B90),MONTH(B90),1))</f>
        <v/>
      </c>
      <c r="D90" s="7" t="n"/>
      <c r="E90" s="8" t="n"/>
      <c r="F90" s="4" t="n"/>
      <c r="G90" s="7" t="n"/>
      <c r="H90" s="7" t="n"/>
      <c r="I90" s="43" t="n"/>
      <c r="J90" s="44">
        <f>IF(I90="","",I90)</f>
        <v/>
      </c>
      <c r="K90" s="62">
        <f>IF(I90="","",IFERROR(VLOOKUP('Tabelas e Instruções'!$A$6,'Tabelas e Instruções'!$A$6:$B$8,2,FALSE),0))</f>
        <v/>
      </c>
      <c r="L90" s="44">
        <f>IF(J90="","",MIN(J90*K90,'Tabelas e Instruções'!$B$10))</f>
        <v/>
      </c>
      <c r="M90" s="44">
        <f>IF(I90="","",MAX(0,I90-L90))</f>
        <v/>
      </c>
      <c r="N90" s="62">
        <f>IF(M90="","",IFERROR(VLOOKUP(M90,'Tabelas e Instruções'!$D$6:$F$10,2,TRUE),0))</f>
        <v/>
      </c>
      <c r="O90" s="44">
        <f>IF(M90="","",IFERROR(VLOOKUP(M90,'Tabelas e Instruções'!$D$6:$F$10,3,TRUE),0))</f>
        <v/>
      </c>
      <c r="P90" s="44">
        <f>IF(M90="","",MAX(0,(M90*N90)-O90))</f>
        <v/>
      </c>
      <c r="Q90" s="62">
        <f>IF(H90="","",IFERROR(VLOOKUP(H90,'Tabelas e Instruções'!$H$6:$I$11,2,FALSE),0))</f>
        <v/>
      </c>
      <c r="R90" s="44">
        <f>IF(I90="","",IF(IFERROR(VLOOKUP(H90,'Tabelas e Instruções'!$H$6:$J$11,3,FALSE),"Não")="Sim",I90*Q90,0))</f>
        <v/>
      </c>
      <c r="S90" s="43" t="n"/>
      <c r="T90" s="44">
        <f>IF(I90="","",I90-L90-P90-R90-IF(S90="",0,S90))</f>
        <v/>
      </c>
      <c r="U90" s="60" t="n"/>
      <c r="V90" s="12">
        <f>IF(B90="","",IF(U90&lt;&gt;"","Pago",IF(B90&lt;TODAY(),"Atrasado","Pendente")))</f>
        <v/>
      </c>
      <c r="W90" s="7" t="n"/>
      <c r="X90" s="7" t="n"/>
    </row>
    <row r="91">
      <c r="A91" s="4" t="n"/>
      <c r="B91" s="60" t="n"/>
      <c r="C91" s="61">
        <f>IF(B91="","",DATE(YEAR(B91),MONTH(B91),1))</f>
        <v/>
      </c>
      <c r="D91" s="7" t="n"/>
      <c r="E91" s="8" t="n"/>
      <c r="F91" s="4" t="n"/>
      <c r="G91" s="7" t="n"/>
      <c r="H91" s="7" t="n"/>
      <c r="I91" s="43" t="n"/>
      <c r="J91" s="44">
        <f>IF(I91="","",I91)</f>
        <v/>
      </c>
      <c r="K91" s="62">
        <f>IF(I91="","",IFERROR(VLOOKUP('Tabelas e Instruções'!$A$6,'Tabelas e Instruções'!$A$6:$B$8,2,FALSE),0))</f>
        <v/>
      </c>
      <c r="L91" s="44">
        <f>IF(J91="","",MIN(J91*K91,'Tabelas e Instruções'!$B$10))</f>
        <v/>
      </c>
      <c r="M91" s="44">
        <f>IF(I91="","",MAX(0,I91-L91))</f>
        <v/>
      </c>
      <c r="N91" s="62">
        <f>IF(M91="","",IFERROR(VLOOKUP(M91,'Tabelas e Instruções'!$D$6:$F$10,2,TRUE),0))</f>
        <v/>
      </c>
      <c r="O91" s="44">
        <f>IF(M91="","",IFERROR(VLOOKUP(M91,'Tabelas e Instruções'!$D$6:$F$10,3,TRUE),0))</f>
        <v/>
      </c>
      <c r="P91" s="44">
        <f>IF(M91="","",MAX(0,(M91*N91)-O91))</f>
        <v/>
      </c>
      <c r="Q91" s="62">
        <f>IF(H91="","",IFERROR(VLOOKUP(H91,'Tabelas e Instruções'!$H$6:$I$11,2,FALSE),0))</f>
        <v/>
      </c>
      <c r="R91" s="44">
        <f>IF(I91="","",IF(IFERROR(VLOOKUP(H91,'Tabelas e Instruções'!$H$6:$J$11,3,FALSE),"Não")="Sim",I91*Q91,0))</f>
        <v/>
      </c>
      <c r="S91" s="43" t="n"/>
      <c r="T91" s="44">
        <f>IF(I91="","",I91-L91-P91-R91-IF(S91="",0,S91))</f>
        <v/>
      </c>
      <c r="U91" s="60" t="n"/>
      <c r="V91" s="12">
        <f>IF(B91="","",IF(U91&lt;&gt;"","Pago",IF(B91&lt;TODAY(),"Atrasado","Pendente")))</f>
        <v/>
      </c>
      <c r="W91" s="7" t="n"/>
      <c r="X91" s="7" t="n"/>
    </row>
    <row r="92">
      <c r="A92" s="4" t="n"/>
      <c r="B92" s="60" t="n"/>
      <c r="C92" s="61">
        <f>IF(B92="","",DATE(YEAR(B92),MONTH(B92),1))</f>
        <v/>
      </c>
      <c r="D92" s="7" t="n"/>
      <c r="E92" s="8" t="n"/>
      <c r="F92" s="4" t="n"/>
      <c r="G92" s="7" t="n"/>
      <c r="H92" s="7" t="n"/>
      <c r="I92" s="43" t="n"/>
      <c r="J92" s="44">
        <f>IF(I92="","",I92)</f>
        <v/>
      </c>
      <c r="K92" s="62">
        <f>IF(I92="","",IFERROR(VLOOKUP('Tabelas e Instruções'!$A$6,'Tabelas e Instruções'!$A$6:$B$8,2,FALSE),0))</f>
        <v/>
      </c>
      <c r="L92" s="44">
        <f>IF(J92="","",MIN(J92*K92,'Tabelas e Instruções'!$B$10))</f>
        <v/>
      </c>
      <c r="M92" s="44">
        <f>IF(I92="","",MAX(0,I92-L92))</f>
        <v/>
      </c>
      <c r="N92" s="62">
        <f>IF(M92="","",IFERROR(VLOOKUP(M92,'Tabelas e Instruções'!$D$6:$F$10,2,TRUE),0))</f>
        <v/>
      </c>
      <c r="O92" s="44">
        <f>IF(M92="","",IFERROR(VLOOKUP(M92,'Tabelas e Instruções'!$D$6:$F$10,3,TRUE),0))</f>
        <v/>
      </c>
      <c r="P92" s="44">
        <f>IF(M92="","",MAX(0,(M92*N92)-O92))</f>
        <v/>
      </c>
      <c r="Q92" s="62">
        <f>IF(H92="","",IFERROR(VLOOKUP(H92,'Tabelas e Instruções'!$H$6:$I$11,2,FALSE),0))</f>
        <v/>
      </c>
      <c r="R92" s="44">
        <f>IF(I92="","",IF(IFERROR(VLOOKUP(H92,'Tabelas e Instruções'!$H$6:$J$11,3,FALSE),"Não")="Sim",I92*Q92,0))</f>
        <v/>
      </c>
      <c r="S92" s="43" t="n"/>
      <c r="T92" s="44">
        <f>IF(I92="","",I92-L92-P92-R92-IF(S92="",0,S92))</f>
        <v/>
      </c>
      <c r="U92" s="60" t="n"/>
      <c r="V92" s="12">
        <f>IF(B92="","",IF(U92&lt;&gt;"","Pago",IF(B92&lt;TODAY(),"Atrasado","Pendente")))</f>
        <v/>
      </c>
      <c r="W92" s="7" t="n"/>
      <c r="X92" s="7" t="n"/>
    </row>
    <row r="93">
      <c r="A93" s="4" t="n"/>
      <c r="B93" s="60" t="n"/>
      <c r="C93" s="61">
        <f>IF(B93="","",DATE(YEAR(B93),MONTH(B93),1))</f>
        <v/>
      </c>
      <c r="D93" s="7" t="n"/>
      <c r="E93" s="8" t="n"/>
      <c r="F93" s="4" t="n"/>
      <c r="G93" s="7" t="n"/>
      <c r="H93" s="7" t="n"/>
      <c r="I93" s="43" t="n"/>
      <c r="J93" s="44">
        <f>IF(I93="","",I93)</f>
        <v/>
      </c>
      <c r="K93" s="62">
        <f>IF(I93="","",IFERROR(VLOOKUP('Tabelas e Instruções'!$A$6,'Tabelas e Instruções'!$A$6:$B$8,2,FALSE),0))</f>
        <v/>
      </c>
      <c r="L93" s="44">
        <f>IF(J93="","",MIN(J93*K93,'Tabelas e Instruções'!$B$10))</f>
        <v/>
      </c>
      <c r="M93" s="44">
        <f>IF(I93="","",MAX(0,I93-L93))</f>
        <v/>
      </c>
      <c r="N93" s="62">
        <f>IF(M93="","",IFERROR(VLOOKUP(M93,'Tabelas e Instruções'!$D$6:$F$10,2,TRUE),0))</f>
        <v/>
      </c>
      <c r="O93" s="44">
        <f>IF(M93="","",IFERROR(VLOOKUP(M93,'Tabelas e Instruções'!$D$6:$F$10,3,TRUE),0))</f>
        <v/>
      </c>
      <c r="P93" s="44">
        <f>IF(M93="","",MAX(0,(M93*N93)-O93))</f>
        <v/>
      </c>
      <c r="Q93" s="62">
        <f>IF(H93="","",IFERROR(VLOOKUP(H93,'Tabelas e Instruções'!$H$6:$I$11,2,FALSE),0))</f>
        <v/>
      </c>
      <c r="R93" s="44">
        <f>IF(I93="","",IF(IFERROR(VLOOKUP(H93,'Tabelas e Instruções'!$H$6:$J$11,3,FALSE),"Não")="Sim",I93*Q93,0))</f>
        <v/>
      </c>
      <c r="S93" s="43" t="n"/>
      <c r="T93" s="44">
        <f>IF(I93="","",I93-L93-P93-R93-IF(S93="",0,S93))</f>
        <v/>
      </c>
      <c r="U93" s="60" t="n"/>
      <c r="V93" s="12">
        <f>IF(B93="","",IF(U93&lt;&gt;"","Pago",IF(B93&lt;TODAY(),"Atrasado","Pendente")))</f>
        <v/>
      </c>
      <c r="W93" s="7" t="n"/>
      <c r="X93" s="7" t="n"/>
    </row>
    <row r="94">
      <c r="A94" s="4" t="n"/>
      <c r="B94" s="60" t="n"/>
      <c r="C94" s="61">
        <f>IF(B94="","",DATE(YEAR(B94),MONTH(B94),1))</f>
        <v/>
      </c>
      <c r="D94" s="7" t="n"/>
      <c r="E94" s="8" t="n"/>
      <c r="F94" s="4" t="n"/>
      <c r="G94" s="7" t="n"/>
      <c r="H94" s="7" t="n"/>
      <c r="I94" s="43" t="n"/>
      <c r="J94" s="44">
        <f>IF(I94="","",I94)</f>
        <v/>
      </c>
      <c r="K94" s="62">
        <f>IF(I94="","",IFERROR(VLOOKUP('Tabelas e Instruções'!$A$6,'Tabelas e Instruções'!$A$6:$B$8,2,FALSE),0))</f>
        <v/>
      </c>
      <c r="L94" s="44">
        <f>IF(J94="","",MIN(J94*K94,'Tabelas e Instruções'!$B$10))</f>
        <v/>
      </c>
      <c r="M94" s="44">
        <f>IF(I94="","",MAX(0,I94-L94))</f>
        <v/>
      </c>
      <c r="N94" s="62">
        <f>IF(M94="","",IFERROR(VLOOKUP(M94,'Tabelas e Instruções'!$D$6:$F$10,2,TRUE),0))</f>
        <v/>
      </c>
      <c r="O94" s="44">
        <f>IF(M94="","",IFERROR(VLOOKUP(M94,'Tabelas e Instruções'!$D$6:$F$10,3,TRUE),0))</f>
        <v/>
      </c>
      <c r="P94" s="44">
        <f>IF(M94="","",MAX(0,(M94*N94)-O94))</f>
        <v/>
      </c>
      <c r="Q94" s="62">
        <f>IF(H94="","",IFERROR(VLOOKUP(H94,'Tabelas e Instruções'!$H$6:$I$11,2,FALSE),0))</f>
        <v/>
      </c>
      <c r="R94" s="44">
        <f>IF(I94="","",IF(IFERROR(VLOOKUP(H94,'Tabelas e Instruções'!$H$6:$J$11,3,FALSE),"Não")="Sim",I94*Q94,0))</f>
        <v/>
      </c>
      <c r="S94" s="43" t="n"/>
      <c r="T94" s="44">
        <f>IF(I94="","",I94-L94-P94-R94-IF(S94="",0,S94))</f>
        <v/>
      </c>
      <c r="U94" s="60" t="n"/>
      <c r="V94" s="12">
        <f>IF(B94="","",IF(U94&lt;&gt;"","Pago",IF(B94&lt;TODAY(),"Atrasado","Pendente")))</f>
        <v/>
      </c>
      <c r="W94" s="7" t="n"/>
      <c r="X94" s="7" t="n"/>
    </row>
    <row r="95">
      <c r="A95" s="4" t="n"/>
      <c r="B95" s="60" t="n"/>
      <c r="C95" s="61">
        <f>IF(B95="","",DATE(YEAR(B95),MONTH(B95),1))</f>
        <v/>
      </c>
      <c r="D95" s="7" t="n"/>
      <c r="E95" s="8" t="n"/>
      <c r="F95" s="4" t="n"/>
      <c r="G95" s="7" t="n"/>
      <c r="H95" s="7" t="n"/>
      <c r="I95" s="43" t="n"/>
      <c r="J95" s="44">
        <f>IF(I95="","",I95)</f>
        <v/>
      </c>
      <c r="K95" s="62">
        <f>IF(I95="","",IFERROR(VLOOKUP('Tabelas e Instruções'!$A$6,'Tabelas e Instruções'!$A$6:$B$8,2,FALSE),0))</f>
        <v/>
      </c>
      <c r="L95" s="44">
        <f>IF(J95="","",MIN(J95*K95,'Tabelas e Instruções'!$B$10))</f>
        <v/>
      </c>
      <c r="M95" s="44">
        <f>IF(I95="","",MAX(0,I95-L95))</f>
        <v/>
      </c>
      <c r="N95" s="62">
        <f>IF(M95="","",IFERROR(VLOOKUP(M95,'Tabelas e Instruções'!$D$6:$F$10,2,TRUE),0))</f>
        <v/>
      </c>
      <c r="O95" s="44">
        <f>IF(M95="","",IFERROR(VLOOKUP(M95,'Tabelas e Instruções'!$D$6:$F$10,3,TRUE),0))</f>
        <v/>
      </c>
      <c r="P95" s="44">
        <f>IF(M95="","",MAX(0,(M95*N95)-O95))</f>
        <v/>
      </c>
      <c r="Q95" s="62">
        <f>IF(H95="","",IFERROR(VLOOKUP(H95,'Tabelas e Instruções'!$H$6:$I$11,2,FALSE),0))</f>
        <v/>
      </c>
      <c r="R95" s="44">
        <f>IF(I95="","",IF(IFERROR(VLOOKUP(H95,'Tabelas e Instruções'!$H$6:$J$11,3,FALSE),"Não")="Sim",I95*Q95,0))</f>
        <v/>
      </c>
      <c r="S95" s="43" t="n"/>
      <c r="T95" s="44">
        <f>IF(I95="","",I95-L95-P95-R95-IF(S95="",0,S95))</f>
        <v/>
      </c>
      <c r="U95" s="60" t="n"/>
      <c r="V95" s="12">
        <f>IF(B95="","",IF(U95&lt;&gt;"","Pago",IF(B95&lt;TODAY(),"Atrasado","Pendente")))</f>
        <v/>
      </c>
      <c r="W95" s="7" t="n"/>
      <c r="X95" s="7" t="n"/>
    </row>
    <row r="96">
      <c r="A96" s="4" t="n"/>
      <c r="B96" s="60" t="n"/>
      <c r="C96" s="61">
        <f>IF(B96="","",DATE(YEAR(B96),MONTH(B96),1))</f>
        <v/>
      </c>
      <c r="D96" s="7" t="n"/>
      <c r="E96" s="8" t="n"/>
      <c r="F96" s="4" t="n"/>
      <c r="G96" s="7" t="n"/>
      <c r="H96" s="7" t="n"/>
      <c r="I96" s="43" t="n"/>
      <c r="J96" s="44">
        <f>IF(I96="","",I96)</f>
        <v/>
      </c>
      <c r="K96" s="62">
        <f>IF(I96="","",IFERROR(VLOOKUP('Tabelas e Instruções'!$A$6,'Tabelas e Instruções'!$A$6:$B$8,2,FALSE),0))</f>
        <v/>
      </c>
      <c r="L96" s="44">
        <f>IF(J96="","",MIN(J96*K96,'Tabelas e Instruções'!$B$10))</f>
        <v/>
      </c>
      <c r="M96" s="44">
        <f>IF(I96="","",MAX(0,I96-L96))</f>
        <v/>
      </c>
      <c r="N96" s="62">
        <f>IF(M96="","",IFERROR(VLOOKUP(M96,'Tabelas e Instruções'!$D$6:$F$10,2,TRUE),0))</f>
        <v/>
      </c>
      <c r="O96" s="44">
        <f>IF(M96="","",IFERROR(VLOOKUP(M96,'Tabelas e Instruções'!$D$6:$F$10,3,TRUE),0))</f>
        <v/>
      </c>
      <c r="P96" s="44">
        <f>IF(M96="","",MAX(0,(M96*N96)-O96))</f>
        <v/>
      </c>
      <c r="Q96" s="62">
        <f>IF(H96="","",IFERROR(VLOOKUP(H96,'Tabelas e Instruções'!$H$6:$I$11,2,FALSE),0))</f>
        <v/>
      </c>
      <c r="R96" s="44">
        <f>IF(I96="","",IF(IFERROR(VLOOKUP(H96,'Tabelas e Instruções'!$H$6:$J$11,3,FALSE),"Não")="Sim",I96*Q96,0))</f>
        <v/>
      </c>
      <c r="S96" s="43" t="n"/>
      <c r="T96" s="44">
        <f>IF(I96="","",I96-L96-P96-R96-IF(S96="",0,S96))</f>
        <v/>
      </c>
      <c r="U96" s="60" t="n"/>
      <c r="V96" s="12">
        <f>IF(B96="","",IF(U96&lt;&gt;"","Pago",IF(B96&lt;TODAY(),"Atrasado","Pendente")))</f>
        <v/>
      </c>
      <c r="W96" s="7" t="n"/>
      <c r="X96" s="7" t="n"/>
    </row>
    <row r="97">
      <c r="A97" s="4" t="n"/>
      <c r="B97" s="60" t="n"/>
      <c r="C97" s="61">
        <f>IF(B97="","",DATE(YEAR(B97),MONTH(B97),1))</f>
        <v/>
      </c>
      <c r="D97" s="7" t="n"/>
      <c r="E97" s="8" t="n"/>
      <c r="F97" s="4" t="n"/>
      <c r="G97" s="7" t="n"/>
      <c r="H97" s="7" t="n"/>
      <c r="I97" s="43" t="n"/>
      <c r="J97" s="44">
        <f>IF(I97="","",I97)</f>
        <v/>
      </c>
      <c r="K97" s="62">
        <f>IF(I97="","",IFERROR(VLOOKUP('Tabelas e Instruções'!$A$6,'Tabelas e Instruções'!$A$6:$B$8,2,FALSE),0))</f>
        <v/>
      </c>
      <c r="L97" s="44">
        <f>IF(J97="","",MIN(J97*K97,'Tabelas e Instruções'!$B$10))</f>
        <v/>
      </c>
      <c r="M97" s="44">
        <f>IF(I97="","",MAX(0,I97-L97))</f>
        <v/>
      </c>
      <c r="N97" s="62">
        <f>IF(M97="","",IFERROR(VLOOKUP(M97,'Tabelas e Instruções'!$D$6:$F$10,2,TRUE),0))</f>
        <v/>
      </c>
      <c r="O97" s="44">
        <f>IF(M97="","",IFERROR(VLOOKUP(M97,'Tabelas e Instruções'!$D$6:$F$10,3,TRUE),0))</f>
        <v/>
      </c>
      <c r="P97" s="44">
        <f>IF(M97="","",MAX(0,(M97*N97)-O97))</f>
        <v/>
      </c>
      <c r="Q97" s="62">
        <f>IF(H97="","",IFERROR(VLOOKUP(H97,'Tabelas e Instruções'!$H$6:$I$11,2,FALSE),0))</f>
        <v/>
      </c>
      <c r="R97" s="44">
        <f>IF(I97="","",IF(IFERROR(VLOOKUP(H97,'Tabelas e Instruções'!$H$6:$J$11,3,FALSE),"Não")="Sim",I97*Q97,0))</f>
        <v/>
      </c>
      <c r="S97" s="43" t="n"/>
      <c r="T97" s="44">
        <f>IF(I97="","",I97-L97-P97-R97-IF(S97="",0,S97))</f>
        <v/>
      </c>
      <c r="U97" s="60" t="n"/>
      <c r="V97" s="12">
        <f>IF(B97="","",IF(U97&lt;&gt;"","Pago",IF(B97&lt;TODAY(),"Atrasado","Pendente")))</f>
        <v/>
      </c>
      <c r="W97" s="7" t="n"/>
      <c r="X97" s="7" t="n"/>
    </row>
    <row r="98">
      <c r="A98" s="4" t="n"/>
      <c r="B98" s="60" t="n"/>
      <c r="C98" s="61">
        <f>IF(B98="","",DATE(YEAR(B98),MONTH(B98),1))</f>
        <v/>
      </c>
      <c r="D98" s="7" t="n"/>
      <c r="E98" s="8" t="n"/>
      <c r="F98" s="4" t="n"/>
      <c r="G98" s="7" t="n"/>
      <c r="H98" s="7" t="n"/>
      <c r="I98" s="43" t="n"/>
      <c r="J98" s="44">
        <f>IF(I98="","",I98)</f>
        <v/>
      </c>
      <c r="K98" s="62">
        <f>IF(I98="","",IFERROR(VLOOKUP('Tabelas e Instruções'!$A$6,'Tabelas e Instruções'!$A$6:$B$8,2,FALSE),0))</f>
        <v/>
      </c>
      <c r="L98" s="44">
        <f>IF(J98="","",MIN(J98*K98,'Tabelas e Instruções'!$B$10))</f>
        <v/>
      </c>
      <c r="M98" s="44">
        <f>IF(I98="","",MAX(0,I98-L98))</f>
        <v/>
      </c>
      <c r="N98" s="62">
        <f>IF(M98="","",IFERROR(VLOOKUP(M98,'Tabelas e Instruções'!$D$6:$F$10,2,TRUE),0))</f>
        <v/>
      </c>
      <c r="O98" s="44">
        <f>IF(M98="","",IFERROR(VLOOKUP(M98,'Tabelas e Instruções'!$D$6:$F$10,3,TRUE),0))</f>
        <v/>
      </c>
      <c r="P98" s="44">
        <f>IF(M98="","",MAX(0,(M98*N98)-O98))</f>
        <v/>
      </c>
      <c r="Q98" s="62">
        <f>IF(H98="","",IFERROR(VLOOKUP(H98,'Tabelas e Instruções'!$H$6:$I$11,2,FALSE),0))</f>
        <v/>
      </c>
      <c r="R98" s="44">
        <f>IF(I98="","",IF(IFERROR(VLOOKUP(H98,'Tabelas e Instruções'!$H$6:$J$11,3,FALSE),"Não")="Sim",I98*Q98,0))</f>
        <v/>
      </c>
      <c r="S98" s="43" t="n"/>
      <c r="T98" s="44">
        <f>IF(I98="","",I98-L98-P98-R98-IF(S98="",0,S98))</f>
        <v/>
      </c>
      <c r="U98" s="60" t="n"/>
      <c r="V98" s="12">
        <f>IF(B98="","",IF(U98&lt;&gt;"","Pago",IF(B98&lt;TODAY(),"Atrasado","Pendente")))</f>
        <v/>
      </c>
      <c r="W98" s="7" t="n"/>
      <c r="X98" s="7" t="n"/>
    </row>
    <row r="99">
      <c r="A99" s="4" t="n"/>
      <c r="B99" s="60" t="n"/>
      <c r="C99" s="61">
        <f>IF(B99="","",DATE(YEAR(B99),MONTH(B99),1))</f>
        <v/>
      </c>
      <c r="D99" s="7" t="n"/>
      <c r="E99" s="8" t="n"/>
      <c r="F99" s="4" t="n"/>
      <c r="G99" s="7" t="n"/>
      <c r="H99" s="7" t="n"/>
      <c r="I99" s="43" t="n"/>
      <c r="J99" s="44">
        <f>IF(I99="","",I99)</f>
        <v/>
      </c>
      <c r="K99" s="62">
        <f>IF(I99="","",IFERROR(VLOOKUP('Tabelas e Instruções'!$A$6,'Tabelas e Instruções'!$A$6:$B$8,2,FALSE),0))</f>
        <v/>
      </c>
      <c r="L99" s="44">
        <f>IF(J99="","",MIN(J99*K99,'Tabelas e Instruções'!$B$10))</f>
        <v/>
      </c>
      <c r="M99" s="44">
        <f>IF(I99="","",MAX(0,I99-L99))</f>
        <v/>
      </c>
      <c r="N99" s="62">
        <f>IF(M99="","",IFERROR(VLOOKUP(M99,'Tabelas e Instruções'!$D$6:$F$10,2,TRUE),0))</f>
        <v/>
      </c>
      <c r="O99" s="44">
        <f>IF(M99="","",IFERROR(VLOOKUP(M99,'Tabelas e Instruções'!$D$6:$F$10,3,TRUE),0))</f>
        <v/>
      </c>
      <c r="P99" s="44">
        <f>IF(M99="","",MAX(0,(M99*N99)-O99))</f>
        <v/>
      </c>
      <c r="Q99" s="62">
        <f>IF(H99="","",IFERROR(VLOOKUP(H99,'Tabelas e Instruções'!$H$6:$I$11,2,FALSE),0))</f>
        <v/>
      </c>
      <c r="R99" s="44">
        <f>IF(I99="","",IF(IFERROR(VLOOKUP(H99,'Tabelas e Instruções'!$H$6:$J$11,3,FALSE),"Não")="Sim",I99*Q99,0))</f>
        <v/>
      </c>
      <c r="S99" s="43" t="n"/>
      <c r="T99" s="44">
        <f>IF(I99="","",I99-L99-P99-R99-IF(S99="",0,S99))</f>
        <v/>
      </c>
      <c r="U99" s="60" t="n"/>
      <c r="V99" s="12">
        <f>IF(B99="","",IF(U99&lt;&gt;"","Pago",IF(B99&lt;TODAY(),"Atrasado","Pendente")))</f>
        <v/>
      </c>
      <c r="W99" s="7" t="n"/>
      <c r="X99" s="7" t="n"/>
    </row>
    <row r="100">
      <c r="A100" s="4" t="n"/>
      <c r="B100" s="60" t="n"/>
      <c r="C100" s="61">
        <f>IF(B100="","",DATE(YEAR(B100),MONTH(B100),1))</f>
        <v/>
      </c>
      <c r="D100" s="7" t="n"/>
      <c r="E100" s="8" t="n"/>
      <c r="F100" s="4" t="n"/>
      <c r="G100" s="7" t="n"/>
      <c r="H100" s="7" t="n"/>
      <c r="I100" s="43" t="n"/>
      <c r="J100" s="44">
        <f>IF(I100="","",I100)</f>
        <v/>
      </c>
      <c r="K100" s="62">
        <f>IF(I100="","",IFERROR(VLOOKUP('Tabelas e Instruções'!$A$6,'Tabelas e Instruções'!$A$6:$B$8,2,FALSE),0))</f>
        <v/>
      </c>
      <c r="L100" s="44">
        <f>IF(J100="","",MIN(J100*K100,'Tabelas e Instruções'!$B$10))</f>
        <v/>
      </c>
      <c r="M100" s="44">
        <f>IF(I100="","",MAX(0,I100-L100))</f>
        <v/>
      </c>
      <c r="N100" s="62">
        <f>IF(M100="","",IFERROR(VLOOKUP(M100,'Tabelas e Instruções'!$D$6:$F$10,2,TRUE),0))</f>
        <v/>
      </c>
      <c r="O100" s="44">
        <f>IF(M100="","",IFERROR(VLOOKUP(M100,'Tabelas e Instruções'!$D$6:$F$10,3,TRUE),0))</f>
        <v/>
      </c>
      <c r="P100" s="44">
        <f>IF(M100="","",MAX(0,(M100*N100)-O100))</f>
        <v/>
      </c>
      <c r="Q100" s="62">
        <f>IF(H100="","",IFERROR(VLOOKUP(H100,'Tabelas e Instruções'!$H$6:$I$11,2,FALSE),0))</f>
        <v/>
      </c>
      <c r="R100" s="44">
        <f>IF(I100="","",IF(IFERROR(VLOOKUP(H100,'Tabelas e Instruções'!$H$6:$J$11,3,FALSE),"Não")="Sim",I100*Q100,0))</f>
        <v/>
      </c>
      <c r="S100" s="43" t="n"/>
      <c r="T100" s="44">
        <f>IF(I100="","",I100-L100-P100-R100-IF(S100="",0,S100))</f>
        <v/>
      </c>
      <c r="U100" s="60" t="n"/>
      <c r="V100" s="12">
        <f>IF(B100="","",IF(U100&lt;&gt;"","Pago",IF(B100&lt;TODAY(),"Atrasado","Pendente")))</f>
        <v/>
      </c>
      <c r="W100" s="7" t="n"/>
      <c r="X100" s="7" t="n"/>
    </row>
    <row r="101">
      <c r="A101" s="4" t="n"/>
      <c r="B101" s="60" t="n"/>
      <c r="C101" s="61">
        <f>IF(B101="","",DATE(YEAR(B101),MONTH(B101),1))</f>
        <v/>
      </c>
      <c r="D101" s="7" t="n"/>
      <c r="E101" s="8" t="n"/>
      <c r="F101" s="4" t="n"/>
      <c r="G101" s="7" t="n"/>
      <c r="H101" s="7" t="n"/>
      <c r="I101" s="43" t="n"/>
      <c r="J101" s="44">
        <f>IF(I101="","",I101)</f>
        <v/>
      </c>
      <c r="K101" s="62">
        <f>IF(I101="","",IFERROR(VLOOKUP('Tabelas e Instruções'!$A$6,'Tabelas e Instruções'!$A$6:$B$8,2,FALSE),0))</f>
        <v/>
      </c>
      <c r="L101" s="44">
        <f>IF(J101="","",MIN(J101*K101,'Tabelas e Instruções'!$B$10))</f>
        <v/>
      </c>
      <c r="M101" s="44">
        <f>IF(I101="","",MAX(0,I101-L101))</f>
        <v/>
      </c>
      <c r="N101" s="62">
        <f>IF(M101="","",IFERROR(VLOOKUP(M101,'Tabelas e Instruções'!$D$6:$F$10,2,TRUE),0))</f>
        <v/>
      </c>
      <c r="O101" s="44">
        <f>IF(M101="","",IFERROR(VLOOKUP(M101,'Tabelas e Instruções'!$D$6:$F$10,3,TRUE),0))</f>
        <v/>
      </c>
      <c r="P101" s="44">
        <f>IF(M101="","",MAX(0,(M101*N101)-O101))</f>
        <v/>
      </c>
      <c r="Q101" s="62">
        <f>IF(H101="","",IFERROR(VLOOKUP(H101,'Tabelas e Instruções'!$H$6:$I$11,2,FALSE),0))</f>
        <v/>
      </c>
      <c r="R101" s="44">
        <f>IF(I101="","",IF(IFERROR(VLOOKUP(H101,'Tabelas e Instruções'!$H$6:$J$11,3,FALSE),"Não")="Sim",I101*Q101,0))</f>
        <v/>
      </c>
      <c r="S101" s="43" t="n"/>
      <c r="T101" s="44">
        <f>IF(I101="","",I101-L101-P101-R101-IF(S101="",0,S101))</f>
        <v/>
      </c>
      <c r="U101" s="60" t="n"/>
      <c r="V101" s="12">
        <f>IF(B101="","",IF(U101&lt;&gt;"","Pago",IF(B101&lt;TODAY(),"Atrasado","Pendente")))</f>
        <v/>
      </c>
      <c r="W101" s="7" t="n"/>
      <c r="X101" s="7" t="n"/>
    </row>
    <row r="102">
      <c r="A102" s="4" t="n"/>
      <c r="B102" s="60" t="n"/>
      <c r="C102" s="61">
        <f>IF(B102="","",DATE(YEAR(B102),MONTH(B102),1))</f>
        <v/>
      </c>
      <c r="D102" s="7" t="n"/>
      <c r="E102" s="8" t="n"/>
      <c r="F102" s="4" t="n"/>
      <c r="G102" s="7" t="n"/>
      <c r="H102" s="7" t="n"/>
      <c r="I102" s="43" t="n"/>
      <c r="J102" s="44">
        <f>IF(I102="","",I102)</f>
        <v/>
      </c>
      <c r="K102" s="62">
        <f>IF(I102="","",IFERROR(VLOOKUP('Tabelas e Instruções'!$A$6,'Tabelas e Instruções'!$A$6:$B$8,2,FALSE),0))</f>
        <v/>
      </c>
      <c r="L102" s="44">
        <f>IF(J102="","",MIN(J102*K102,'Tabelas e Instruções'!$B$10))</f>
        <v/>
      </c>
      <c r="M102" s="44">
        <f>IF(I102="","",MAX(0,I102-L102))</f>
        <v/>
      </c>
      <c r="N102" s="62">
        <f>IF(M102="","",IFERROR(VLOOKUP(M102,'Tabelas e Instruções'!$D$6:$F$10,2,TRUE),0))</f>
        <v/>
      </c>
      <c r="O102" s="44">
        <f>IF(M102="","",IFERROR(VLOOKUP(M102,'Tabelas e Instruções'!$D$6:$F$10,3,TRUE),0))</f>
        <v/>
      </c>
      <c r="P102" s="44">
        <f>IF(M102="","",MAX(0,(M102*N102)-O102))</f>
        <v/>
      </c>
      <c r="Q102" s="62">
        <f>IF(H102="","",IFERROR(VLOOKUP(H102,'Tabelas e Instruções'!$H$6:$I$11,2,FALSE),0))</f>
        <v/>
      </c>
      <c r="R102" s="44">
        <f>IF(I102="","",IF(IFERROR(VLOOKUP(H102,'Tabelas e Instruções'!$H$6:$J$11,3,FALSE),"Não")="Sim",I102*Q102,0))</f>
        <v/>
      </c>
      <c r="S102" s="43" t="n"/>
      <c r="T102" s="44">
        <f>IF(I102="","",I102-L102-P102-R102-IF(S102="",0,S102))</f>
        <v/>
      </c>
      <c r="U102" s="60" t="n"/>
      <c r="V102" s="12">
        <f>IF(B102="","",IF(U102&lt;&gt;"","Pago",IF(B102&lt;TODAY(),"Atrasado","Pendente")))</f>
        <v/>
      </c>
      <c r="W102" s="7" t="n"/>
      <c r="X102" s="7" t="n"/>
    </row>
    <row r="103">
      <c r="A103" s="4" t="n"/>
      <c r="B103" s="60" t="n"/>
      <c r="C103" s="61">
        <f>IF(B103="","",DATE(YEAR(B103),MONTH(B103),1))</f>
        <v/>
      </c>
      <c r="D103" s="7" t="n"/>
      <c r="E103" s="8" t="n"/>
      <c r="F103" s="4" t="n"/>
      <c r="G103" s="7" t="n"/>
      <c r="H103" s="7" t="n"/>
      <c r="I103" s="43" t="n"/>
      <c r="J103" s="44">
        <f>IF(I103="","",I103)</f>
        <v/>
      </c>
      <c r="K103" s="62">
        <f>IF(I103="","",IFERROR(VLOOKUP('Tabelas e Instruções'!$A$6,'Tabelas e Instruções'!$A$6:$B$8,2,FALSE),0))</f>
        <v/>
      </c>
      <c r="L103" s="44">
        <f>IF(J103="","",MIN(J103*K103,'Tabelas e Instruções'!$B$10))</f>
        <v/>
      </c>
      <c r="M103" s="44">
        <f>IF(I103="","",MAX(0,I103-L103))</f>
        <v/>
      </c>
      <c r="N103" s="62">
        <f>IF(M103="","",IFERROR(VLOOKUP(M103,'Tabelas e Instruções'!$D$6:$F$10,2,TRUE),0))</f>
        <v/>
      </c>
      <c r="O103" s="44">
        <f>IF(M103="","",IFERROR(VLOOKUP(M103,'Tabelas e Instruções'!$D$6:$F$10,3,TRUE),0))</f>
        <v/>
      </c>
      <c r="P103" s="44">
        <f>IF(M103="","",MAX(0,(M103*N103)-O103))</f>
        <v/>
      </c>
      <c r="Q103" s="62">
        <f>IF(H103="","",IFERROR(VLOOKUP(H103,'Tabelas e Instruções'!$H$6:$I$11,2,FALSE),0))</f>
        <v/>
      </c>
      <c r="R103" s="44">
        <f>IF(I103="","",IF(IFERROR(VLOOKUP(H103,'Tabelas e Instruções'!$H$6:$J$11,3,FALSE),"Não")="Sim",I103*Q103,0))</f>
        <v/>
      </c>
      <c r="S103" s="43" t="n"/>
      <c r="T103" s="44">
        <f>IF(I103="","",I103-L103-P103-R103-IF(S103="",0,S103))</f>
        <v/>
      </c>
      <c r="U103" s="60" t="n"/>
      <c r="V103" s="12">
        <f>IF(B103="","",IF(U103&lt;&gt;"","Pago",IF(B103&lt;TODAY(),"Atrasado","Pendente")))</f>
        <v/>
      </c>
      <c r="W103" s="7" t="n"/>
      <c r="X103" s="7" t="n"/>
    </row>
    <row r="104">
      <c r="A104" s="4" t="n"/>
      <c r="B104" s="60" t="n"/>
      <c r="C104" s="61">
        <f>IF(B104="","",DATE(YEAR(B104),MONTH(B104),1))</f>
        <v/>
      </c>
      <c r="D104" s="7" t="n"/>
      <c r="E104" s="8" t="n"/>
      <c r="F104" s="4" t="n"/>
      <c r="G104" s="7" t="n"/>
      <c r="H104" s="7" t="n"/>
      <c r="I104" s="43" t="n"/>
      <c r="J104" s="44">
        <f>IF(I104="","",I104)</f>
        <v/>
      </c>
      <c r="K104" s="62">
        <f>IF(I104="","",IFERROR(VLOOKUP('Tabelas e Instruções'!$A$6,'Tabelas e Instruções'!$A$6:$B$8,2,FALSE),0))</f>
        <v/>
      </c>
      <c r="L104" s="44">
        <f>IF(J104="","",MIN(J104*K104,'Tabelas e Instruções'!$B$10))</f>
        <v/>
      </c>
      <c r="M104" s="44">
        <f>IF(I104="","",MAX(0,I104-L104))</f>
        <v/>
      </c>
      <c r="N104" s="62">
        <f>IF(M104="","",IFERROR(VLOOKUP(M104,'Tabelas e Instruções'!$D$6:$F$10,2,TRUE),0))</f>
        <v/>
      </c>
      <c r="O104" s="44">
        <f>IF(M104="","",IFERROR(VLOOKUP(M104,'Tabelas e Instruções'!$D$6:$F$10,3,TRUE),0))</f>
        <v/>
      </c>
      <c r="P104" s="44">
        <f>IF(M104="","",MAX(0,(M104*N104)-O104))</f>
        <v/>
      </c>
      <c r="Q104" s="62">
        <f>IF(H104="","",IFERROR(VLOOKUP(H104,'Tabelas e Instruções'!$H$6:$I$11,2,FALSE),0))</f>
        <v/>
      </c>
      <c r="R104" s="44">
        <f>IF(I104="","",IF(IFERROR(VLOOKUP(H104,'Tabelas e Instruções'!$H$6:$J$11,3,FALSE),"Não")="Sim",I104*Q104,0))</f>
        <v/>
      </c>
      <c r="S104" s="43" t="n"/>
      <c r="T104" s="44">
        <f>IF(I104="","",I104-L104-P104-R104-IF(S104="",0,S104))</f>
        <v/>
      </c>
      <c r="U104" s="60" t="n"/>
      <c r="V104" s="12">
        <f>IF(B104="","",IF(U104&lt;&gt;"","Pago",IF(B104&lt;TODAY(),"Atrasado","Pendente")))</f>
        <v/>
      </c>
      <c r="W104" s="7" t="n"/>
      <c r="X104" s="7" t="n"/>
    </row>
    <row r="105">
      <c r="A105" s="4" t="n"/>
      <c r="B105" s="60" t="n"/>
      <c r="C105" s="61">
        <f>IF(B105="","",DATE(YEAR(B105),MONTH(B105),1))</f>
        <v/>
      </c>
      <c r="D105" s="7" t="n"/>
      <c r="E105" s="8" t="n"/>
      <c r="F105" s="4" t="n"/>
      <c r="G105" s="7" t="n"/>
      <c r="H105" s="7" t="n"/>
      <c r="I105" s="43" t="n"/>
      <c r="J105" s="44">
        <f>IF(I105="","",I105)</f>
        <v/>
      </c>
      <c r="K105" s="62">
        <f>IF(I105="","",IFERROR(VLOOKUP('Tabelas e Instruções'!$A$6,'Tabelas e Instruções'!$A$6:$B$8,2,FALSE),0))</f>
        <v/>
      </c>
      <c r="L105" s="44">
        <f>IF(J105="","",MIN(J105*K105,'Tabelas e Instruções'!$B$10))</f>
        <v/>
      </c>
      <c r="M105" s="44">
        <f>IF(I105="","",MAX(0,I105-L105))</f>
        <v/>
      </c>
      <c r="N105" s="62">
        <f>IF(M105="","",IFERROR(VLOOKUP(M105,'Tabelas e Instruções'!$D$6:$F$10,2,TRUE),0))</f>
        <v/>
      </c>
      <c r="O105" s="44">
        <f>IF(M105="","",IFERROR(VLOOKUP(M105,'Tabelas e Instruções'!$D$6:$F$10,3,TRUE),0))</f>
        <v/>
      </c>
      <c r="P105" s="44">
        <f>IF(M105="","",MAX(0,(M105*N105)-O105))</f>
        <v/>
      </c>
      <c r="Q105" s="62">
        <f>IF(H105="","",IFERROR(VLOOKUP(H105,'Tabelas e Instruções'!$H$6:$I$11,2,FALSE),0))</f>
        <v/>
      </c>
      <c r="R105" s="44">
        <f>IF(I105="","",IF(IFERROR(VLOOKUP(H105,'Tabelas e Instruções'!$H$6:$J$11,3,FALSE),"Não")="Sim",I105*Q105,0))</f>
        <v/>
      </c>
      <c r="S105" s="43" t="n"/>
      <c r="T105" s="44">
        <f>IF(I105="","",I105-L105-P105-R105-IF(S105="",0,S105))</f>
        <v/>
      </c>
      <c r="U105" s="60" t="n"/>
      <c r="V105" s="12">
        <f>IF(B105="","",IF(U105&lt;&gt;"","Pago",IF(B105&lt;TODAY(),"Atrasado","Pendente")))</f>
        <v/>
      </c>
      <c r="W105" s="7" t="n"/>
      <c r="X105" s="7" t="n"/>
    </row>
    <row r="106"/>
    <row r="107" ht="22" customHeight="1">
      <c r="A107" s="13" t="inlineStr">
        <is>
          <t>Totais</t>
        </is>
      </c>
      <c r="B107" s="13" t="n"/>
      <c r="C107" s="13" t="n"/>
      <c r="D107" s="13" t="n"/>
      <c r="E107" s="13" t="n"/>
      <c r="F107" s="13" t="n"/>
      <c r="G107" s="13" t="n"/>
      <c r="H107" s="13" t="n"/>
      <c r="I107" s="46">
        <f>SUM(I6:I105)</f>
        <v/>
      </c>
      <c r="J107" s="13" t="n"/>
      <c r="K107" s="13" t="n"/>
      <c r="L107" s="46">
        <f>SUM(L6:L105)</f>
        <v/>
      </c>
      <c r="M107" s="13" t="n"/>
      <c r="N107" s="13" t="n"/>
      <c r="O107" s="13" t="n"/>
      <c r="P107" s="46">
        <f>SUM(P6:P105)</f>
        <v/>
      </c>
      <c r="Q107" s="13" t="n"/>
      <c r="R107" s="46">
        <f>SUM(R6:R105)</f>
        <v/>
      </c>
      <c r="S107" s="13" t="n"/>
      <c r="T107" s="46">
        <f>SUM(T6:T105)</f>
        <v/>
      </c>
      <c r="U107" s="15" t="inlineStr">
        <is>
          <t>RPAs pagos</t>
        </is>
      </c>
      <c r="V107" s="16">
        <f>COUNTIF(V6:V105,"Pago")</f>
        <v/>
      </c>
    </row>
    <row r="108">
      <c r="U108" s="17" t="inlineStr">
        <is>
          <t>RPAs pendentes</t>
        </is>
      </c>
      <c r="V108" s="18">
        <f>COUNTIF(V6:V105,"Pendente")</f>
        <v/>
      </c>
    </row>
    <row r="109">
      <c r="U109" s="17" t="inlineStr">
        <is>
          <t>RPAs atrasados</t>
        </is>
      </c>
      <c r="V109" s="18">
        <f>COUNTIF(V6:V105,"Atrasado")</f>
        <v/>
      </c>
    </row>
    <row r="110">
      <c r="U110" s="17" t="inlineStr">
        <is>
          <t>Média líquida</t>
        </is>
      </c>
      <c r="V110" s="47">
        <f>IFERROR(AVERAGE(T6:T105),0)</f>
        <v/>
      </c>
    </row>
  </sheetData>
  <autoFilter ref="A5:X105"/>
  <mergeCells count="3">
    <mergeCell ref="A1:X1"/>
    <mergeCell ref="A2:X2"/>
    <mergeCell ref="A3:X3"/>
  </mergeCells>
  <conditionalFormatting sqref="V6:V105">
    <cfRule type="expression" priority="1" dxfId="0">
      <formula>V6="Pago"</formula>
    </cfRule>
    <cfRule type="expression" priority="2" dxfId="1">
      <formula>V6="Pendente"</formula>
    </cfRule>
    <cfRule type="expression" priority="3" dxfId="1">
      <formula>V6="Atrasado"</formula>
    </cfRule>
  </conditionalFormatting>
  <dataValidations count="3">
    <dataValidation sqref="B6:B105 U6:U105" showErrorMessage="1" showInputMessage="1" allowBlank="1" errorTitle="Data inválida" error="Informe uma data válida." type="date" operator="between">
      <formula1>=DATE(2000,1,1)</formula1>
      <formula2>=DATE(2100,12,31)</formula2>
    </dataValidation>
    <dataValidation sqref="I6:J105 S6:S105" showErrorMessage="1" showInputMessage="1" allowBlank="1" errorTitle="Valor inválido" error="Informe um valor igual ou maior que zero." type="decimal" operator="greaterThanOrEqual">
      <formula1>0</formula1>
    </dataValidation>
    <dataValidation sqref="H6:H105" showErrorMessage="1" showInputMessage="1" allowBlank="1" errorTitle="Categoria inválida" error="Escolha uma categoria da lista." type="list">
      <formula1>"Consultoria Empresarial,Design Gráfico,Manutenção de Equipamentos,Treinamento Corporativo,Produção de Conteúdo,Desenvolvimento de Sistemas"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R59"/>
  <sheetViews>
    <sheetView showGridLines="0" zoomScale="90" zoomScaleNormal="90" workbookViewId="0">
      <selection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25.04" customWidth="1" min="4" max="4"/>
    <col width="19.28" customWidth="1" min="5" max="5"/>
    <col width="17" customWidth="1" min="6" max="6"/>
    <col width="25.04" customWidth="1" min="7" max="7"/>
    <col width="16" customWidth="1" min="8" max="8"/>
    <col width="34" customWidth="1" min="9" max="9"/>
    <col width="34" customWidth="1" min="10" max="10"/>
    <col width="34" customWidth="1" min="11" max="11"/>
    <col width="16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</cols>
  <sheetData>
    <row r="1" ht="28" customHeight="1">
      <c r="A1" s="63" t="inlineStr">
        <is>
          <t>Dashboard Gerencial de RPAs</t>
        </is>
      </c>
    </row>
    <row r="2" ht="24" customHeight="1">
      <c r="A2" s="64" t="inlineStr">
        <is>
          <t>Acompanhe os valores, retenções e pagamentos. Os indicadores consideram todas as 100 linhas preparadas na aba RPAs.</t>
        </is>
      </c>
    </row>
    <row r="3"/>
    <row r="4" ht="32" customHeight="1">
      <c r="A4" s="65" t="inlineStr">
        <is>
          <t>Total Bruto de RPAs</t>
        </is>
      </c>
      <c r="C4" s="65" t="inlineStr">
        <is>
          <t>Total Líquido a Pagar</t>
        </is>
      </c>
      <c r="E4" s="65" t="inlineStr">
        <is>
          <t>Total de INSS Retido</t>
        </is>
      </c>
      <c r="G4" s="65" t="inlineStr">
        <is>
          <t>Total de IRRF Retido</t>
        </is>
      </c>
      <c r="I4" s="65" t="inlineStr">
        <is>
          <t>RPAs Pendentes/Atrasados</t>
        </is>
      </c>
      <c r="K4" s="65" t="inlineStr">
        <is>
          <t>Percentual Pago</t>
        </is>
      </c>
    </row>
    <row r="5" ht="28" customHeight="1">
      <c r="A5" s="66">
        <f>SUM('RPAs'!$I$6:$I$105)</f>
        <v/>
      </c>
      <c r="C5" s="66">
        <f>SUM('RPAs'!$T$6:$T$105)</f>
        <v/>
      </c>
      <c r="E5" s="66">
        <f>SUM('RPAs'!$L$6:$L$105)</f>
        <v/>
      </c>
      <c r="G5" s="66">
        <f>SUM('RPAs'!$P$6:$P$105)</f>
        <v/>
      </c>
      <c r="I5" s="67">
        <f>COUNTIF('RPAs'!$V$6:$V$105,"Pendente")+COUNTIF('RPAs'!$V$6:$V$105,"Atrasado")</f>
        <v/>
      </c>
      <c r="K5" s="68">
        <f>IFERROR(COUNTIF('RPAs'!$V$6:$V$105,"Pago")/COUNTA('RPAs'!$A$6:$A$105),0)</f>
        <v/>
      </c>
    </row>
    <row r="6"/>
    <row r="7"/>
    <row r="8">
      <c r="A8" s="69" t="inlineStr">
        <is>
          <t>Resumo mensal — competências de 2026</t>
        </is>
      </c>
      <c r="F8" s="69" t="inlineStr">
        <is>
          <t>Status dos RPAs</t>
        </is>
      </c>
      <c r="I8" s="69" t="inlineStr">
        <is>
          <t>Valor Bruto por Categoria de Serviço</t>
        </is>
      </c>
    </row>
    <row r="9">
      <c r="A9" s="70" t="inlineStr">
        <is>
          <t>Competência</t>
        </is>
      </c>
      <c r="B9" s="70" t="inlineStr">
        <is>
          <t>Valor Bruto (R$)</t>
        </is>
      </c>
      <c r="C9" s="70" t="inlineStr">
        <is>
          <t>Valor Líquido (R$)</t>
        </is>
      </c>
      <c r="D9" s="70" t="inlineStr">
        <is>
          <t>Quantidade de RPAs</t>
        </is>
      </c>
      <c r="F9" s="70" t="inlineStr">
        <is>
          <t>Status</t>
        </is>
      </c>
      <c r="G9" s="70" t="inlineStr">
        <is>
          <t>Quantidade</t>
        </is>
      </c>
      <c r="I9" s="70" t="inlineStr">
        <is>
          <t>Categoria do Serviço</t>
        </is>
      </c>
      <c r="J9" s="70" t="inlineStr">
        <is>
          <t>Valor Bruto (R$)</t>
        </is>
      </c>
    </row>
    <row r="10">
      <c r="A10" s="71" t="n">
        <v>46023</v>
      </c>
      <c r="B10" s="72">
        <f>SUMIF('RPAs'!$C$6:$C$105,A10,'RPAs'!$I$6:$I$105)</f>
        <v/>
      </c>
      <c r="C10" s="72">
        <f>SUMIF('RPAs'!$C$6:$C$105,A10,'RPAs'!$T$6:$T$105)</f>
        <v/>
      </c>
      <c r="D10" s="73">
        <f>COUNTIF('RPAs'!$C$6:$C$105,A10)</f>
        <v/>
      </c>
      <c r="F10" s="73" t="inlineStr">
        <is>
          <t>Pago</t>
        </is>
      </c>
      <c r="G10" s="73">
        <f>COUNTIF('RPAs'!$V$6:$V$105,F10)</f>
        <v/>
      </c>
      <c r="I10" s="74" t="inlineStr">
        <is>
          <t>Consultoria Empresarial</t>
        </is>
      </c>
      <c r="J10" s="75">
        <f>SUMIF('RPAs'!$H$6:$H$105,I10,'RPAs'!$I$6:$I$105)</f>
        <v/>
      </c>
    </row>
    <row r="11">
      <c r="A11" s="76" t="n">
        <v>46054</v>
      </c>
      <c r="B11" s="77">
        <f>SUMIF('RPAs'!$C$6:$C$105,A11,'RPAs'!$I$6:$I$105)</f>
        <v/>
      </c>
      <c r="C11" s="77">
        <f>SUMIF('RPAs'!$C$6:$C$105,A11,'RPAs'!$T$6:$T$105)</f>
        <v/>
      </c>
      <c r="D11" s="78">
        <f>COUNTIF('RPAs'!$C$6:$C$105,A11)</f>
        <v/>
      </c>
      <c r="F11" s="78" t="inlineStr">
        <is>
          <t>Pendente</t>
        </is>
      </c>
      <c r="G11" s="78">
        <f>COUNTIF('RPAs'!$V$6:$V$105,F11)</f>
        <v/>
      </c>
      <c r="I11" s="79" t="inlineStr">
        <is>
          <t>Design Gráfico</t>
        </is>
      </c>
      <c r="J11" s="80">
        <f>SUMIF('RPAs'!$H$6:$H$105,I11,'RPAs'!$I$6:$I$105)</f>
        <v/>
      </c>
    </row>
    <row r="12">
      <c r="A12" s="71" t="n">
        <v>46082</v>
      </c>
      <c r="B12" s="72">
        <f>SUMIF('RPAs'!$C$6:$C$105,A12,'RPAs'!$I$6:$I$105)</f>
        <v/>
      </c>
      <c r="C12" s="72">
        <f>SUMIF('RPAs'!$C$6:$C$105,A12,'RPAs'!$T$6:$T$105)</f>
        <v/>
      </c>
      <c r="D12" s="73">
        <f>COUNTIF('RPAs'!$C$6:$C$105,A12)</f>
        <v/>
      </c>
      <c r="F12" s="73" t="inlineStr">
        <is>
          <t>Atrasado</t>
        </is>
      </c>
      <c r="G12" s="73">
        <f>COUNTIF('RPAs'!$V$6:$V$105,F12)</f>
        <v/>
      </c>
      <c r="I12" s="74" t="inlineStr">
        <is>
          <t>Manutenção de Equipamentos</t>
        </is>
      </c>
      <c r="J12" s="75">
        <f>SUMIF('RPAs'!$H$6:$H$105,I12,'RPAs'!$I$6:$I$105)</f>
        <v/>
      </c>
    </row>
    <row r="13">
      <c r="A13" s="76" t="n">
        <v>46113</v>
      </c>
      <c r="B13" s="77">
        <f>SUMIF('RPAs'!$C$6:$C$105,A13,'RPAs'!$I$6:$I$105)</f>
        <v/>
      </c>
      <c r="C13" s="77">
        <f>SUMIF('RPAs'!$C$6:$C$105,A13,'RPAs'!$T$6:$T$105)</f>
        <v/>
      </c>
      <c r="D13" s="78">
        <f>COUNTIF('RPAs'!$C$6:$C$105,A13)</f>
        <v/>
      </c>
      <c r="I13" s="79" t="inlineStr">
        <is>
          <t>Treinamento Corporativo</t>
        </is>
      </c>
      <c r="J13" s="80">
        <f>SUMIF('RPAs'!$H$6:$H$105,I13,'RPAs'!$I$6:$I$105)</f>
        <v/>
      </c>
    </row>
    <row r="14">
      <c r="A14" s="71" t="n">
        <v>46143</v>
      </c>
      <c r="B14" s="72">
        <f>SUMIF('RPAs'!$C$6:$C$105,A14,'RPAs'!$I$6:$I$105)</f>
        <v/>
      </c>
      <c r="C14" s="72">
        <f>SUMIF('RPAs'!$C$6:$C$105,A14,'RPAs'!$T$6:$T$105)</f>
        <v/>
      </c>
      <c r="D14" s="73">
        <f>COUNTIF('RPAs'!$C$6:$C$105,A14)</f>
        <v/>
      </c>
      <c r="I14" s="74" t="inlineStr">
        <is>
          <t>Produção de Conteúdo</t>
        </is>
      </c>
      <c r="J14" s="75">
        <f>SUMIF('RPAs'!$H$6:$H$105,I14,'RPAs'!$I$6:$I$105)</f>
        <v/>
      </c>
    </row>
    <row r="15">
      <c r="A15" s="76" t="n">
        <v>46174</v>
      </c>
      <c r="B15" s="77">
        <f>SUMIF('RPAs'!$C$6:$C$105,A15,'RPAs'!$I$6:$I$105)</f>
        <v/>
      </c>
      <c r="C15" s="77">
        <f>SUMIF('RPAs'!$C$6:$C$105,A15,'RPAs'!$T$6:$T$105)</f>
        <v/>
      </c>
      <c r="D15" s="78">
        <f>COUNTIF('RPAs'!$C$6:$C$105,A15)</f>
        <v/>
      </c>
      <c r="I15" s="79" t="inlineStr">
        <is>
          <t>Desenvolvimento de Sistemas</t>
        </is>
      </c>
      <c r="J15" s="80">
        <f>SUMIF('RPAs'!$H$6:$H$105,I15,'RPAs'!$I$6:$I$105)</f>
        <v/>
      </c>
    </row>
    <row r="16">
      <c r="A16" s="71" t="n">
        <v>46204</v>
      </c>
      <c r="B16" s="72">
        <f>SUMIF('RPAs'!$C$6:$C$105,A16,'RPAs'!$I$6:$I$105)</f>
        <v/>
      </c>
      <c r="C16" s="72">
        <f>SUMIF('RPAs'!$C$6:$C$105,A16,'RPAs'!$T$6:$T$105)</f>
        <v/>
      </c>
      <c r="D16" s="73">
        <f>COUNTIF('RPAs'!$C$6:$C$105,A16)</f>
        <v/>
      </c>
    </row>
    <row r="17">
      <c r="A17" s="76" t="n">
        <v>46235</v>
      </c>
      <c r="B17" s="77">
        <f>SUMIF('RPAs'!$C$6:$C$105,A17,'RPAs'!$I$6:$I$105)</f>
        <v/>
      </c>
      <c r="C17" s="77">
        <f>SUMIF('RPAs'!$C$6:$C$105,A17,'RPAs'!$T$6:$T$105)</f>
        <v/>
      </c>
      <c r="D17" s="78">
        <f>COUNTIF('RPAs'!$C$6:$C$105,A17)</f>
        <v/>
      </c>
    </row>
    <row r="18">
      <c r="A18" s="71" t="n">
        <v>46266</v>
      </c>
      <c r="B18" s="72">
        <f>SUMIF('RPAs'!$C$6:$C$105,A18,'RPAs'!$I$6:$I$105)</f>
        <v/>
      </c>
      <c r="C18" s="72">
        <f>SUMIF('RPAs'!$C$6:$C$105,A18,'RPAs'!$T$6:$T$105)</f>
        <v/>
      </c>
      <c r="D18" s="73">
        <f>COUNTIF('RPAs'!$C$6:$C$105,A18)</f>
        <v/>
      </c>
    </row>
    <row r="19">
      <c r="A19" s="76" t="n">
        <v>46296</v>
      </c>
      <c r="B19" s="77">
        <f>SUMIF('RPAs'!$C$6:$C$105,A19,'RPAs'!$I$6:$I$105)</f>
        <v/>
      </c>
      <c r="C19" s="77">
        <f>SUMIF('RPAs'!$C$6:$C$105,A19,'RPAs'!$T$6:$T$105)</f>
        <v/>
      </c>
      <c r="D19" s="78">
        <f>COUNTIF('RPAs'!$C$6:$C$105,A19)</f>
        <v/>
      </c>
    </row>
    <row r="20">
      <c r="A20" s="71" t="n">
        <v>46327</v>
      </c>
      <c r="B20" s="72">
        <f>SUMIF('RPAs'!$C$6:$C$105,A20,'RPAs'!$I$6:$I$105)</f>
        <v/>
      </c>
      <c r="C20" s="72">
        <f>SUMIF('RPAs'!$C$6:$C$105,A20,'RPAs'!$T$6:$T$105)</f>
        <v/>
      </c>
      <c r="D20" s="73">
        <f>COUNTIF('RPAs'!$C$6:$C$105,A20)</f>
        <v/>
      </c>
    </row>
    <row r="21">
      <c r="A21" s="76" t="n">
        <v>46357</v>
      </c>
      <c r="B21" s="77">
        <f>SUMIF('RPAs'!$C$6:$C$105,A21,'RPAs'!$I$6:$I$105)</f>
        <v/>
      </c>
      <c r="C21" s="77">
        <f>SUMIF('RPAs'!$C$6:$C$105,A21,'RPAs'!$T$6:$T$105)</f>
        <v/>
      </c>
      <c r="D21" s="78">
        <f>COUNTIF('RPAs'!$C$6:$C$105,A21)</f>
        <v/>
      </c>
    </row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</sheetData>
  <mergeCells count="2">
    <mergeCell ref="A1:L1"/>
    <mergeCell ref="A2:L2"/>
  </mergeCell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9"/>
  <sheetViews>
    <sheetView showGridLines="0" zoomScale="56" zoomScaleNormal="56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6" customWidth="1" min="3" max="3"/>
    <col width="18" customWidth="1" min="4" max="4"/>
    <col width="16" customWidth="1" min="5" max="5"/>
    <col width="24" customWidth="1" min="6" max="6"/>
    <col width="10" customWidth="1" min="7" max="7"/>
    <col width="31" customWidth="1" min="8" max="8"/>
    <col width="15" customWidth="1" min="9" max="9"/>
    <col width="16" customWidth="1" min="10" max="10"/>
  </cols>
  <sheetData>
    <row r="1" ht="28" customHeight="1">
      <c r="A1" s="1" t="inlineStr">
        <is>
          <t>Tabelas de Apoio e Instruções de Uso</t>
        </is>
      </c>
    </row>
    <row r="2" ht="28" customHeight="1">
      <c r="A2" s="2" t="inlineStr">
        <is>
          <t>Revise os campos amarelos antes de calcular ou recolher tributos. Este modelo não substitui validação contábil, fiscal ou jurídica.</t>
        </is>
      </c>
    </row>
    <row r="3"/>
    <row r="4"/>
    <row r="5" ht="32" customHeight="1">
      <c r="A5" s="59" t="inlineStr">
        <is>
          <t>Parâmetro INSS</t>
        </is>
      </c>
      <c r="B5" s="59" t="inlineStr">
        <is>
          <t>Valor</t>
        </is>
      </c>
      <c r="C5" s="81" t="n"/>
      <c r="D5" s="59" t="inlineStr">
        <is>
          <t>Base Inicial (R$)</t>
        </is>
      </c>
      <c r="E5" s="59" t="inlineStr">
        <is>
          <t>Alíquota IRRF</t>
        </is>
      </c>
      <c r="F5" s="59" t="inlineStr">
        <is>
          <t>Parcela a Deduzir (R$)</t>
        </is>
      </c>
      <c r="G5" s="81" t="n"/>
      <c r="H5" s="59" t="inlineStr">
        <is>
          <t>Categoria do Serviço</t>
        </is>
      </c>
      <c r="I5" s="59" t="inlineStr">
        <is>
          <t>Alíquota ISS</t>
        </is>
      </c>
      <c r="J5" s="59" t="inlineStr">
        <is>
          <t>Reter ISS?</t>
        </is>
      </c>
    </row>
    <row r="6">
      <c r="A6" s="28" t="inlineStr">
        <is>
          <t>INSS Autônomo</t>
        </is>
      </c>
      <c r="B6" s="82" t="n">
        <v>0.11</v>
      </c>
      <c r="C6" s="2" t="inlineStr">
        <is>
          <t>Alíquota inicial do modelo. Valide a incidência conforme cadastro e natureza do serviço.</t>
        </is>
      </c>
      <c r="D6" s="43" t="n">
        <v>0</v>
      </c>
      <c r="E6" s="83" t="n">
        <v>0</v>
      </c>
      <c r="F6" s="43" t="n">
        <v>0</v>
      </c>
      <c r="H6" s="7" t="inlineStr">
        <is>
          <t>Consultoria Empresarial</t>
        </is>
      </c>
      <c r="I6" s="82" t="n">
        <v>0</v>
      </c>
      <c r="J6" s="4" t="inlineStr">
        <is>
          <t>Não</t>
        </is>
      </c>
    </row>
    <row r="7">
      <c r="A7" s="28" t="inlineStr">
        <is>
          <t>Incidência do INSS</t>
        </is>
      </c>
      <c r="B7" s="4" t="inlineStr">
        <is>
          <t>Confirmar</t>
        </is>
      </c>
      <c r="D7" s="43" t="n">
        <v>0</v>
      </c>
      <c r="E7" s="83" t="n">
        <v>0</v>
      </c>
      <c r="F7" s="43" t="n">
        <v>0</v>
      </c>
      <c r="H7" s="7" t="inlineStr">
        <is>
          <t>Design Gráfico</t>
        </is>
      </c>
      <c r="I7" s="82" t="n">
        <v>0</v>
      </c>
      <c r="J7" s="4" t="inlineStr">
        <is>
          <t>Não</t>
        </is>
      </c>
    </row>
    <row r="8">
      <c r="A8" s="28" t="inlineStr">
        <is>
          <t>Revisão do parâmetro</t>
        </is>
      </c>
      <c r="B8" s="4" t="inlineStr">
        <is>
          <t>Obrigatória</t>
        </is>
      </c>
      <c r="D8" s="43" t="n">
        <v>0</v>
      </c>
      <c r="E8" s="83" t="n">
        <v>0</v>
      </c>
      <c r="F8" s="43" t="n">
        <v>0</v>
      </c>
      <c r="H8" s="7" t="inlineStr">
        <is>
          <t>Manutenção de Equipamentos</t>
        </is>
      </c>
      <c r="I8" s="82" t="n">
        <v>0</v>
      </c>
      <c r="J8" s="4" t="inlineStr">
        <is>
          <t>Não</t>
        </is>
      </c>
    </row>
    <row r="9">
      <c r="D9" s="43" t="n">
        <v>0</v>
      </c>
      <c r="E9" s="83" t="n">
        <v>0</v>
      </c>
      <c r="F9" s="43" t="n">
        <v>0</v>
      </c>
      <c r="H9" s="7" t="inlineStr">
        <is>
          <t>Treinamento Corporativo</t>
        </is>
      </c>
      <c r="I9" s="82" t="n">
        <v>0</v>
      </c>
      <c r="J9" s="4" t="inlineStr">
        <is>
          <t>Não</t>
        </is>
      </c>
    </row>
    <row r="10">
      <c r="A10" s="28" t="inlineStr">
        <is>
          <t>Teto mensal de retenção INSS</t>
        </is>
      </c>
      <c r="B10" s="58" t="n">
        <v>0</v>
      </c>
      <c r="C10" s="2" t="inlineStr">
        <is>
          <t>Informe o teto previdenciário vigente antes da utilização.</t>
        </is>
      </c>
      <c r="D10" s="43" t="n">
        <v>0</v>
      </c>
      <c r="E10" s="83" t="n">
        <v>0</v>
      </c>
      <c r="F10" s="43" t="n">
        <v>0</v>
      </c>
      <c r="H10" s="7" t="inlineStr">
        <is>
          <t>Produção de Conteúdo</t>
        </is>
      </c>
      <c r="I10" s="82" t="n">
        <v>0</v>
      </c>
      <c r="J10" s="4" t="inlineStr">
        <is>
          <t>Não</t>
        </is>
      </c>
    </row>
    <row r="11">
      <c r="H11" s="7" t="inlineStr">
        <is>
          <t>Desenvolvimento de Sistemas</t>
        </is>
      </c>
      <c r="I11" s="82" t="n">
        <v>0</v>
      </c>
      <c r="J11" s="4" t="inlineStr">
        <is>
          <t>Não</t>
        </is>
      </c>
    </row>
    <row r="12">
      <c r="D12" s="2" t="inlineStr">
        <is>
          <t>Tabela IRRF inicial sem faixas legais preenchidas: substitua por faixas vigentes, em ordem crescente, incluindo a faixa isenta.</t>
        </is>
      </c>
    </row>
    <row r="13"/>
    <row r="14" ht="28" customHeight="1">
      <c r="A14" s="38" t="inlineStr">
        <is>
          <t>Atenção: validar alíquotas, limites, incidências e obrigações acessórias conforme legislação vigente e município aplicável.</t>
        </is>
      </c>
    </row>
    <row r="15"/>
    <row r="16">
      <c r="A16" s="24" t="inlineStr">
        <is>
          <t>Como usar este arquivo</t>
        </is>
      </c>
    </row>
    <row r="17" ht="28" customHeight="1">
      <c r="A17" s="28" t="inlineStr">
        <is>
          <t>1. Na aba RPAs, preencha os campos amarelos para cada pagamento ao profissional autônomo.</t>
        </is>
      </c>
    </row>
    <row r="18" ht="28" customHeight="1">
      <c r="A18" s="33" t="inlineStr">
        <is>
          <t>2. As colunas de competência, retenções, valor líquido e status são calculadas automaticamente.</t>
        </is>
      </c>
    </row>
    <row r="19" ht="28" customHeight="1">
      <c r="A19" s="28" t="inlineStr">
        <is>
          <t>3. Para ajustar a Base INSS, substitua a fórmula da coluna Base INSS pelo valor revisado para aquele RPA.</t>
        </is>
      </c>
    </row>
    <row r="20" ht="28" customHeight="1">
      <c r="A20" s="33" t="inlineStr">
        <is>
          <t>4. Confirme incidência de INSS, IRRF e ISS conforme serviço, município, cadastro do prestador e legislação aplicável.</t>
        </is>
      </c>
    </row>
    <row r="21" ht="28" customHeight="1">
      <c r="A21" s="28" t="inlineStr">
        <is>
          <t>5. Valide eSocial, DCTFWeb, recolhimentos e regras específicas para MEI, Simples Nacional e contribuinte individual.</t>
        </is>
      </c>
    </row>
    <row r="22" ht="28" customHeight="1">
      <c r="A22" s="33" t="inlineStr">
        <is>
          <t>6. Mantenha RPA assinado, comprovantes de pagamento e documentos fiscais conforme exigências fiscais e LGPD.</t>
        </is>
      </c>
    </row>
    <row r="23" ht="28" customHeight="1">
      <c r="A23" s="28" t="inlineStr">
        <is>
          <t>7. O status será Pago quando houver Data de Pagamento; sem pagamento, será Pendente ou Atrasado conforme a data de emissão.</t>
        </is>
      </c>
    </row>
    <row r="24"/>
    <row r="25">
      <c r="A25" s="24" t="inlineStr">
        <is>
          <t>Legenda visual</t>
        </is>
      </c>
    </row>
    <row r="26">
      <c r="A26" s="7" t="inlineStr">
        <is>
          <t>Campo amarelo</t>
        </is>
      </c>
      <c r="B26" s="33" t="inlineStr">
        <is>
          <t>Informação editável ou parâmetro revisável.</t>
        </is>
      </c>
    </row>
    <row r="27">
      <c r="A27" s="39" t="inlineStr">
        <is>
          <t>Campo verde-claro</t>
        </is>
      </c>
      <c r="B27" s="33" t="inlineStr">
        <is>
          <t>Cálculo automático do workbook.</t>
        </is>
      </c>
    </row>
    <row r="28">
      <c r="A28" s="40" t="inlineStr">
        <is>
          <t>Status verde</t>
        </is>
      </c>
      <c r="B28" s="33" t="inlineStr">
        <is>
          <t>RPA com pagamento informado.</t>
        </is>
      </c>
    </row>
    <row r="29">
      <c r="A29" s="38" t="inlineStr">
        <is>
          <t>Status vermelho</t>
        </is>
      </c>
      <c r="B29" s="33" t="inlineStr">
        <is>
          <t>RPA pendente ou atrasado que exige acompanhamento.</t>
        </is>
      </c>
    </row>
  </sheetData>
  <mergeCells count="2">
    <mergeCell ref="A1:J1"/>
    <mergeCell ref="A2:J2"/>
  </mergeCells>
  <dataValidations count="2">
    <dataValidation sqref="J6:J11" showErrorMessage="1" showInputMessage="1" allowBlank="0" errorTitle="Opção inválida" error="Escolha Sim ou Não." type="list">
      <formula1>"Sim,Não"</formula1>
    </dataValidation>
    <dataValidation sqref="B10 D6:D10 E6:E10 F6:F10 I6:I11" showErrorMessage="1" showInputMessage="1" allowBlank="0" errorTitle="Valor inválido" error="Informe um número igual ou maior que zero." type="decimal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2026-09-07T13:16:09Z</dcterms:created>
  <dcterms:modified xmlns:dcterms="http://purl.org/dc/terms/" xmlns:xsi="http://www.w3.org/2001/XMLSchema-instance" xsi:type="dcterms:W3CDTF">2026-09-07T13:16:09Z</dcterms:modified>
</cp:coreProperties>
</file>